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FY1920\Our Amendment to SPCSA\"/>
    </mc:Choice>
  </mc:AlternateContent>
  <xr:revisionPtr revIDLastSave="0" documentId="13_ncr:1_{208B5AE4-CD8C-469D-ADC7-D4235526882F}" xr6:coauthVersionLast="36" xr6:coauthVersionMax="45" xr10:uidLastSave="{00000000-0000-0000-0000-000000000000}"/>
  <bookViews>
    <workbookView xWindow="-120" yWindow="-120" windowWidth="29040" windowHeight="15840" xr2:uid="{D526ED2A-3F59-468D-8D5C-ABC98F77307C}"/>
  </bookViews>
  <sheets>
    <sheet name="Budget" sheetId="16" r:id="rId1"/>
    <sheet name="Summary" sheetId="11" state="hidden" r:id="rId2"/>
    <sheet name="MYP" sheetId="6" r:id="rId3"/>
    <sheet name="Function-Grant" sheetId="17" state="hidden" r:id="rId4"/>
    <sheet name="FY21" sheetId="1" r:id="rId5"/>
    <sheet name="FY22" sheetId="7" r:id="rId6"/>
    <sheet name="FY23" sheetId="8" r:id="rId7"/>
    <sheet name="FY24" sheetId="9" r:id="rId8"/>
    <sheet name="FY25" sheetId="10" r:id="rId9"/>
    <sheet name="Instruction" sheetId="21" r:id="rId10"/>
    <sheet name="Rev &amp; Enroll" sheetId="2" r:id="rId11"/>
    <sheet name="Payroll" sheetId="3" r:id="rId12"/>
    <sheet name="Exp Details" sheetId="4" r:id="rId13"/>
    <sheet name="Request for Change" sheetId="19" state="hidden" r:id="rId14"/>
    <sheet name="Programs List" sheetId="20" r:id="rId15"/>
    <sheet name="Original Budget" sheetId="5" state="hidden" r:id="rId16"/>
    <sheet name="Revised Budget" sheetId="23" state="hidden" r:id="rId17"/>
    <sheet name="Import" sheetId="18" state="hidden" r:id="rId18"/>
  </sheets>
  <definedNames>
    <definedName name="_xlnm.Print_Area" localSheetId="0">Budget!$A$1:$I$47</definedName>
    <definedName name="_xlnm.Print_Area" localSheetId="1">Summary!$A$1:$L$57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8" i="6" l="1"/>
  <c r="G118" i="6"/>
  <c r="I118" i="6"/>
  <c r="K118" i="6"/>
  <c r="M118" i="6"/>
  <c r="M117" i="6"/>
  <c r="K117" i="6"/>
  <c r="I117" i="6"/>
  <c r="G117" i="6"/>
  <c r="E117" i="6"/>
  <c r="M114" i="6"/>
  <c r="K114" i="6"/>
  <c r="I114" i="6"/>
  <c r="G114" i="6"/>
  <c r="E114" i="6"/>
  <c r="M111" i="6"/>
  <c r="K111" i="6"/>
  <c r="I111" i="6"/>
  <c r="G111" i="6"/>
  <c r="E111" i="6"/>
  <c r="E103" i="6"/>
  <c r="G103" i="6"/>
  <c r="I103" i="6"/>
  <c r="K103" i="6"/>
  <c r="M103" i="6"/>
  <c r="E104" i="6"/>
  <c r="G104" i="6"/>
  <c r="I104" i="6"/>
  <c r="K104" i="6"/>
  <c r="M104" i="6"/>
  <c r="E105" i="6"/>
  <c r="G105" i="6"/>
  <c r="I105" i="6"/>
  <c r="K105" i="6"/>
  <c r="M105" i="6"/>
  <c r="E106" i="6"/>
  <c r="G106" i="6"/>
  <c r="I106" i="6"/>
  <c r="K106" i="6"/>
  <c r="M106" i="6"/>
  <c r="E107" i="6"/>
  <c r="G107" i="6"/>
  <c r="I107" i="6"/>
  <c r="K107" i="6"/>
  <c r="M107" i="6"/>
  <c r="E108" i="6"/>
  <c r="G108" i="6"/>
  <c r="I108" i="6"/>
  <c r="K108" i="6"/>
  <c r="M108" i="6"/>
  <c r="M102" i="6"/>
  <c r="K102" i="6"/>
  <c r="I102" i="6"/>
  <c r="G102" i="6"/>
  <c r="E102" i="6"/>
  <c r="E89" i="6"/>
  <c r="G89" i="6"/>
  <c r="I89" i="6"/>
  <c r="K89" i="6"/>
  <c r="M89" i="6"/>
  <c r="E90" i="6"/>
  <c r="G90" i="6"/>
  <c r="I90" i="6"/>
  <c r="K90" i="6"/>
  <c r="M90" i="6"/>
  <c r="E91" i="6"/>
  <c r="G91" i="6"/>
  <c r="I91" i="6"/>
  <c r="K91" i="6"/>
  <c r="M91" i="6"/>
  <c r="E92" i="6"/>
  <c r="G92" i="6"/>
  <c r="I92" i="6"/>
  <c r="K92" i="6"/>
  <c r="M92" i="6"/>
  <c r="E93" i="6"/>
  <c r="G93" i="6"/>
  <c r="I93" i="6"/>
  <c r="K93" i="6"/>
  <c r="M93" i="6"/>
  <c r="E94" i="6"/>
  <c r="G94" i="6"/>
  <c r="I94" i="6"/>
  <c r="K94" i="6"/>
  <c r="M94" i="6"/>
  <c r="E95" i="6"/>
  <c r="G95" i="6"/>
  <c r="I95" i="6"/>
  <c r="K95" i="6"/>
  <c r="M95" i="6"/>
  <c r="E96" i="6"/>
  <c r="G96" i="6"/>
  <c r="I96" i="6"/>
  <c r="K96" i="6"/>
  <c r="M96" i="6"/>
  <c r="E97" i="6"/>
  <c r="G97" i="6"/>
  <c r="I97" i="6"/>
  <c r="K97" i="6"/>
  <c r="M97" i="6"/>
  <c r="E98" i="6"/>
  <c r="G98" i="6"/>
  <c r="I98" i="6"/>
  <c r="K98" i="6"/>
  <c r="M98" i="6"/>
  <c r="E99" i="6"/>
  <c r="G99" i="6"/>
  <c r="I99" i="6"/>
  <c r="K99" i="6"/>
  <c r="M99" i="6"/>
  <c r="M88" i="6"/>
  <c r="K88" i="6"/>
  <c r="I88" i="6"/>
  <c r="G88" i="6"/>
  <c r="E88" i="6"/>
  <c r="E83" i="6"/>
  <c r="G83" i="6"/>
  <c r="I83" i="6"/>
  <c r="K83" i="6"/>
  <c r="M83" i="6"/>
  <c r="E84" i="6"/>
  <c r="G84" i="6"/>
  <c r="I84" i="6"/>
  <c r="K84" i="6"/>
  <c r="M84" i="6"/>
  <c r="E85" i="6"/>
  <c r="G85" i="6"/>
  <c r="I85" i="6"/>
  <c r="K85" i="6"/>
  <c r="M85" i="6"/>
  <c r="M82" i="6"/>
  <c r="K82" i="6"/>
  <c r="I82" i="6"/>
  <c r="G82" i="6"/>
  <c r="E82" i="6"/>
  <c r="E71" i="6"/>
  <c r="G71" i="6"/>
  <c r="I71" i="6"/>
  <c r="K71" i="6"/>
  <c r="M71" i="6"/>
  <c r="E72" i="6"/>
  <c r="G72" i="6"/>
  <c r="I72" i="6"/>
  <c r="K72" i="6"/>
  <c r="M72" i="6"/>
  <c r="E73" i="6"/>
  <c r="G73" i="6"/>
  <c r="I73" i="6"/>
  <c r="K73" i="6"/>
  <c r="M73" i="6"/>
  <c r="E74" i="6"/>
  <c r="G74" i="6"/>
  <c r="I74" i="6"/>
  <c r="K74" i="6"/>
  <c r="M74" i="6"/>
  <c r="E75" i="6"/>
  <c r="G75" i="6"/>
  <c r="I75" i="6"/>
  <c r="K75" i="6"/>
  <c r="M75" i="6"/>
  <c r="E76" i="6"/>
  <c r="G76" i="6"/>
  <c r="I76" i="6"/>
  <c r="K76" i="6"/>
  <c r="M76" i="6"/>
  <c r="E77" i="6"/>
  <c r="G77" i="6"/>
  <c r="I77" i="6"/>
  <c r="K77" i="6"/>
  <c r="M77" i="6"/>
  <c r="E78" i="6"/>
  <c r="G78" i="6"/>
  <c r="I78" i="6"/>
  <c r="K78" i="6"/>
  <c r="M78" i="6"/>
  <c r="E79" i="6"/>
  <c r="G79" i="6"/>
  <c r="I79" i="6"/>
  <c r="K79" i="6"/>
  <c r="M79" i="6"/>
  <c r="M70" i="6"/>
  <c r="K70" i="6"/>
  <c r="I70" i="6"/>
  <c r="G70" i="6"/>
  <c r="E70" i="6"/>
  <c r="E50" i="6"/>
  <c r="G50" i="6"/>
  <c r="I50" i="6"/>
  <c r="K50" i="6"/>
  <c r="M50" i="6"/>
  <c r="E51" i="6"/>
  <c r="G51" i="6"/>
  <c r="I51" i="6"/>
  <c r="K51" i="6"/>
  <c r="M51" i="6"/>
  <c r="E52" i="6"/>
  <c r="G52" i="6"/>
  <c r="I52" i="6"/>
  <c r="K52" i="6"/>
  <c r="M52" i="6"/>
  <c r="E53" i="6"/>
  <c r="G53" i="6"/>
  <c r="I53" i="6"/>
  <c r="K53" i="6"/>
  <c r="M53" i="6"/>
  <c r="E54" i="6"/>
  <c r="G54" i="6"/>
  <c r="I54" i="6"/>
  <c r="K54" i="6"/>
  <c r="M54" i="6"/>
  <c r="E55" i="6"/>
  <c r="G55" i="6"/>
  <c r="I55" i="6"/>
  <c r="K55" i="6"/>
  <c r="M55" i="6"/>
  <c r="E56" i="6"/>
  <c r="G56" i="6"/>
  <c r="I56" i="6"/>
  <c r="K56" i="6"/>
  <c r="M56" i="6"/>
  <c r="E57" i="6"/>
  <c r="G57" i="6"/>
  <c r="I57" i="6"/>
  <c r="K57" i="6"/>
  <c r="M57" i="6"/>
  <c r="E58" i="6"/>
  <c r="G58" i="6"/>
  <c r="I58" i="6"/>
  <c r="K58" i="6"/>
  <c r="M58" i="6"/>
  <c r="E59" i="6"/>
  <c r="G59" i="6"/>
  <c r="I59" i="6"/>
  <c r="K59" i="6"/>
  <c r="M59" i="6"/>
  <c r="E60" i="6"/>
  <c r="G60" i="6"/>
  <c r="I60" i="6"/>
  <c r="K60" i="6"/>
  <c r="M60" i="6"/>
  <c r="E61" i="6"/>
  <c r="G61" i="6"/>
  <c r="I61" i="6"/>
  <c r="K61" i="6"/>
  <c r="M61" i="6"/>
  <c r="E62" i="6"/>
  <c r="G62" i="6"/>
  <c r="I62" i="6"/>
  <c r="K62" i="6"/>
  <c r="M62" i="6"/>
  <c r="E63" i="6"/>
  <c r="G63" i="6"/>
  <c r="I63" i="6"/>
  <c r="K63" i="6"/>
  <c r="M63" i="6"/>
  <c r="E64" i="6"/>
  <c r="G64" i="6"/>
  <c r="I64" i="6"/>
  <c r="K64" i="6"/>
  <c r="M64" i="6"/>
  <c r="E65" i="6"/>
  <c r="G65" i="6"/>
  <c r="I65" i="6"/>
  <c r="K65" i="6"/>
  <c r="M65" i="6"/>
  <c r="E66" i="6"/>
  <c r="G66" i="6"/>
  <c r="I66" i="6"/>
  <c r="K66" i="6"/>
  <c r="M66" i="6"/>
  <c r="E67" i="6"/>
  <c r="G67" i="6"/>
  <c r="I67" i="6"/>
  <c r="K67" i="6"/>
  <c r="M67" i="6"/>
  <c r="M49" i="6"/>
  <c r="K49" i="6"/>
  <c r="I49" i="6"/>
  <c r="G49" i="6"/>
  <c r="E49" i="6"/>
  <c r="E38" i="6" l="1"/>
  <c r="G38" i="6"/>
  <c r="I38" i="6"/>
  <c r="K38" i="6"/>
  <c r="M38" i="6"/>
  <c r="E39" i="6"/>
  <c r="G39" i="6"/>
  <c r="I39" i="6"/>
  <c r="K39" i="6"/>
  <c r="M39" i="6"/>
  <c r="E40" i="6"/>
  <c r="G40" i="6"/>
  <c r="I40" i="6"/>
  <c r="K40" i="6"/>
  <c r="M40" i="6"/>
  <c r="E41" i="6"/>
  <c r="G41" i="6"/>
  <c r="I41" i="6"/>
  <c r="K41" i="6"/>
  <c r="M41" i="6"/>
  <c r="E42" i="6"/>
  <c r="G42" i="6"/>
  <c r="I42" i="6"/>
  <c r="K42" i="6"/>
  <c r="M42" i="6"/>
  <c r="E43" i="6"/>
  <c r="G43" i="6"/>
  <c r="I43" i="6"/>
  <c r="K43" i="6"/>
  <c r="M43" i="6"/>
  <c r="E44" i="6"/>
  <c r="G44" i="6"/>
  <c r="I44" i="6"/>
  <c r="K44" i="6"/>
  <c r="M44" i="6"/>
  <c r="E45" i="6"/>
  <c r="G45" i="6"/>
  <c r="I45" i="6"/>
  <c r="K45" i="6"/>
  <c r="M45" i="6"/>
  <c r="E46" i="6"/>
  <c r="G46" i="6"/>
  <c r="I46" i="6"/>
  <c r="K46" i="6"/>
  <c r="M46" i="6"/>
  <c r="M37" i="6"/>
  <c r="K37" i="6"/>
  <c r="I37" i="6"/>
  <c r="G37" i="6"/>
  <c r="E37" i="6"/>
  <c r="M30" i="6"/>
  <c r="K30" i="6"/>
  <c r="I30" i="6"/>
  <c r="G30" i="6"/>
  <c r="E30" i="6"/>
  <c r="E26" i="6"/>
  <c r="G26" i="6"/>
  <c r="I26" i="6"/>
  <c r="K26" i="6"/>
  <c r="M26" i="6"/>
  <c r="E27" i="6"/>
  <c r="G27" i="6"/>
  <c r="I27" i="6"/>
  <c r="K27" i="6"/>
  <c r="M27" i="6"/>
  <c r="M25" i="6"/>
  <c r="K25" i="6"/>
  <c r="I25" i="6"/>
  <c r="G25" i="6"/>
  <c r="E25" i="6"/>
  <c r="E22" i="6"/>
  <c r="G22" i="6"/>
  <c r="I22" i="6"/>
  <c r="K22" i="6"/>
  <c r="M22" i="6"/>
  <c r="M21" i="6"/>
  <c r="K21" i="6"/>
  <c r="I21" i="6"/>
  <c r="G21" i="6"/>
  <c r="E21" i="6"/>
  <c r="E15" i="6"/>
  <c r="G15" i="6"/>
  <c r="I15" i="6"/>
  <c r="K15" i="6"/>
  <c r="M15" i="6"/>
  <c r="E16" i="6"/>
  <c r="G16" i="6"/>
  <c r="I16" i="6"/>
  <c r="K16" i="6"/>
  <c r="M16" i="6"/>
  <c r="E17" i="6"/>
  <c r="G17" i="6"/>
  <c r="I17" i="6"/>
  <c r="K17" i="6"/>
  <c r="M17" i="6"/>
  <c r="E18" i="6"/>
  <c r="G18" i="6"/>
  <c r="I18" i="6"/>
  <c r="K18" i="6"/>
  <c r="M18" i="6"/>
  <c r="M14" i="6"/>
  <c r="K14" i="6"/>
  <c r="I14" i="6"/>
  <c r="G14" i="6"/>
  <c r="E14" i="6"/>
  <c r="F33" i="7" l="1"/>
  <c r="G33" i="7"/>
  <c r="H33" i="7"/>
  <c r="I33" i="7"/>
  <c r="J33" i="7"/>
  <c r="K33" i="7"/>
  <c r="L33" i="7"/>
  <c r="M33" i="7"/>
  <c r="N33" i="7"/>
  <c r="O33" i="7"/>
  <c r="P33" i="7"/>
  <c r="F45" i="7"/>
  <c r="G45" i="7"/>
  <c r="H45" i="7"/>
  <c r="I45" i="7"/>
  <c r="J45" i="7"/>
  <c r="K45" i="7"/>
  <c r="L45" i="7"/>
  <c r="M45" i="7"/>
  <c r="N45" i="7"/>
  <c r="O45" i="7"/>
  <c r="P45" i="7"/>
  <c r="F49" i="7"/>
  <c r="G49" i="7"/>
  <c r="H49" i="7"/>
  <c r="I49" i="7"/>
  <c r="J49" i="7"/>
  <c r="K49" i="7"/>
  <c r="L49" i="7"/>
  <c r="M49" i="7"/>
  <c r="N49" i="7"/>
  <c r="O49" i="7"/>
  <c r="P49" i="7"/>
  <c r="F55" i="7"/>
  <c r="G55" i="7"/>
  <c r="H55" i="7"/>
  <c r="I55" i="7"/>
  <c r="J55" i="7"/>
  <c r="K55" i="7"/>
  <c r="L55" i="7"/>
  <c r="M55" i="7"/>
  <c r="N55" i="7"/>
  <c r="O55" i="7"/>
  <c r="P55" i="7"/>
  <c r="F58" i="7"/>
  <c r="G58" i="7"/>
  <c r="H58" i="7"/>
  <c r="I58" i="7"/>
  <c r="J58" i="7"/>
  <c r="K58" i="7"/>
  <c r="L58" i="7"/>
  <c r="M58" i="7"/>
  <c r="N58" i="7"/>
  <c r="O58" i="7"/>
  <c r="P58" i="7"/>
  <c r="F61" i="7"/>
  <c r="G61" i="7"/>
  <c r="H61" i="7"/>
  <c r="I61" i="7"/>
  <c r="J61" i="7"/>
  <c r="K61" i="7"/>
  <c r="L61" i="7"/>
  <c r="M61" i="7"/>
  <c r="N61" i="7"/>
  <c r="O61" i="7"/>
  <c r="P61" i="7"/>
  <c r="E61" i="7"/>
  <c r="E58" i="7"/>
  <c r="E55" i="7"/>
  <c r="E49" i="7"/>
  <c r="E45" i="7"/>
  <c r="E44" i="7"/>
  <c r="F37" i="7"/>
  <c r="G37" i="7"/>
  <c r="H37" i="7"/>
  <c r="I37" i="7"/>
  <c r="J37" i="7"/>
  <c r="K37" i="7"/>
  <c r="L37" i="7"/>
  <c r="M37" i="7"/>
  <c r="N37" i="7"/>
  <c r="O37" i="7"/>
  <c r="E33" i="7"/>
  <c r="M128" i="6"/>
  <c r="K128" i="6"/>
  <c r="I128" i="6"/>
  <c r="G128" i="6"/>
  <c r="N83" i="2"/>
  <c r="L83" i="2"/>
  <c r="J83" i="2"/>
  <c r="H83" i="2"/>
  <c r="F83" i="2"/>
  <c r="E128" i="6" s="1"/>
  <c r="N81" i="2"/>
  <c r="L81" i="2"/>
  <c r="J81" i="2"/>
  <c r="H81" i="2"/>
  <c r="F81" i="2"/>
  <c r="N72" i="2"/>
  <c r="N71" i="2"/>
  <c r="N70" i="2"/>
  <c r="N68" i="2"/>
  <c r="L72" i="2"/>
  <c r="L71" i="2"/>
  <c r="L70" i="2"/>
  <c r="L68" i="2"/>
  <c r="J68" i="2"/>
  <c r="J72" i="2"/>
  <c r="J71" i="2"/>
  <c r="J70" i="2"/>
  <c r="H69" i="2"/>
  <c r="J69" i="2" s="1"/>
  <c r="H70" i="2"/>
  <c r="H71" i="2"/>
  <c r="H72" i="2"/>
  <c r="H68" i="2"/>
  <c r="F73" i="2"/>
  <c r="H73" i="2" l="1"/>
  <c r="L69" i="2"/>
  <c r="N69" i="2" s="1"/>
  <c r="J73" i="2"/>
  <c r="L73" i="2"/>
  <c r="N73" i="2"/>
  <c r="F37" i="2"/>
  <c r="N35" i="2"/>
  <c r="L35" i="2"/>
  <c r="J35" i="2"/>
  <c r="H35" i="2"/>
  <c r="E125" i="6"/>
  <c r="M330" i="18" l="1"/>
  <c r="K330" i="18"/>
  <c r="D330" i="18" s="1"/>
  <c r="G313" i="18"/>
  <c r="F313" i="18" s="1"/>
  <c r="G292" i="18"/>
  <c r="F292" i="18" s="1"/>
  <c r="M292" i="18"/>
  <c r="K292" i="18"/>
  <c r="D292" i="18" s="1"/>
  <c r="G290" i="18"/>
  <c r="F290" i="18" s="1"/>
  <c r="M290" i="18"/>
  <c r="K290" i="18"/>
  <c r="G218" i="18"/>
  <c r="F218" i="18" s="1"/>
  <c r="M218" i="18"/>
  <c r="K218" i="18"/>
  <c r="G146" i="18"/>
  <c r="F146" i="18" s="1"/>
  <c r="M146" i="18"/>
  <c r="K146" i="18"/>
  <c r="D146" i="18" s="1"/>
  <c r="G104" i="18"/>
  <c r="F104" i="18" s="1"/>
  <c r="M104" i="18"/>
  <c r="K104" i="18"/>
  <c r="D104" i="18" s="1"/>
  <c r="G57" i="18"/>
  <c r="F57" i="18" s="1"/>
  <c r="G54" i="18"/>
  <c r="G12" i="18"/>
  <c r="G13" i="18"/>
  <c r="F13" i="18" s="1"/>
  <c r="G345" i="18"/>
  <c r="G343" i="18"/>
  <c r="F343" i="18" s="1"/>
  <c r="G342" i="18"/>
  <c r="F342" i="18" s="1"/>
  <c r="G341" i="18"/>
  <c r="G340" i="18"/>
  <c r="F340" i="18" s="1"/>
  <c r="G339" i="18"/>
  <c r="F339" i="18" s="1"/>
  <c r="G337" i="18"/>
  <c r="F337" i="18" s="1"/>
  <c r="G335" i="18"/>
  <c r="F335" i="18" s="1"/>
  <c r="G334" i="18"/>
  <c r="F334" i="18" s="1"/>
  <c r="G332" i="18"/>
  <c r="F332" i="18" s="1"/>
  <c r="G329" i="18"/>
  <c r="F329" i="18" s="1"/>
  <c r="G328" i="18"/>
  <c r="F328" i="18" s="1"/>
  <c r="G325" i="18"/>
  <c r="F325" i="18" s="1"/>
  <c r="G323" i="18"/>
  <c r="G322" i="18"/>
  <c r="G320" i="18"/>
  <c r="F320" i="18" s="1"/>
  <c r="G319" i="18"/>
  <c r="F319" i="18" s="1"/>
  <c r="G318" i="18"/>
  <c r="F318" i="18" s="1"/>
  <c r="G317" i="18"/>
  <c r="F317" i="18" s="1"/>
  <c r="G316" i="18"/>
  <c r="F316" i="18" s="1"/>
  <c r="G315" i="18"/>
  <c r="F315" i="18" s="1"/>
  <c r="G314" i="18"/>
  <c r="F314" i="18" s="1"/>
  <c r="G312" i="18"/>
  <c r="F312" i="18" s="1"/>
  <c r="G311" i="18"/>
  <c r="F311" i="18" s="1"/>
  <c r="G310" i="18"/>
  <c r="F310" i="18" s="1"/>
  <c r="G309" i="18"/>
  <c r="F309" i="18" s="1"/>
  <c r="G308" i="18"/>
  <c r="F308" i="18" s="1"/>
  <c r="G307" i="18"/>
  <c r="G306" i="18"/>
  <c r="F306" i="18" s="1"/>
  <c r="G305" i="18"/>
  <c r="F305" i="18" s="1"/>
  <c r="G301" i="18"/>
  <c r="G300" i="18"/>
  <c r="F300" i="18" s="1"/>
  <c r="G299" i="18"/>
  <c r="G298" i="18"/>
  <c r="F298" i="18" s="1"/>
  <c r="G297" i="18"/>
  <c r="F297" i="18" s="1"/>
  <c r="G296" i="18"/>
  <c r="F296" i="18" s="1"/>
  <c r="G295" i="18"/>
  <c r="G294" i="18"/>
  <c r="G293" i="18"/>
  <c r="G291" i="18"/>
  <c r="F291" i="18" s="1"/>
  <c r="G289" i="18"/>
  <c r="F289" i="18" s="1"/>
  <c r="G288" i="18"/>
  <c r="F288" i="18" s="1"/>
  <c r="G287" i="18"/>
  <c r="F287" i="18" s="1"/>
  <c r="G286" i="18"/>
  <c r="G282" i="18"/>
  <c r="F282" i="18" s="1"/>
  <c r="G281" i="18"/>
  <c r="F281" i="18" s="1"/>
  <c r="G279" i="18"/>
  <c r="F279" i="18" s="1"/>
  <c r="G278" i="18"/>
  <c r="G276" i="18"/>
  <c r="F276" i="18" s="1"/>
  <c r="G275" i="18"/>
  <c r="F275" i="18" s="1"/>
  <c r="G274" i="18"/>
  <c r="G272" i="18"/>
  <c r="G271" i="18"/>
  <c r="F271" i="18" s="1"/>
  <c r="G270" i="18"/>
  <c r="F270" i="18" s="1"/>
  <c r="G268" i="18"/>
  <c r="F268" i="18" s="1"/>
  <c r="G267" i="18"/>
  <c r="F267" i="18" s="1"/>
  <c r="G265" i="18"/>
  <c r="F265" i="18" s="1"/>
  <c r="G263" i="18"/>
  <c r="F263" i="18" s="1"/>
  <c r="G262" i="18"/>
  <c r="F262" i="18" s="1"/>
  <c r="G260" i="18"/>
  <c r="G259" i="18"/>
  <c r="F259" i="18" s="1"/>
  <c r="G257" i="18"/>
  <c r="F257" i="18" s="1"/>
  <c r="G256" i="18"/>
  <c r="G254" i="18"/>
  <c r="F254" i="18" s="1"/>
  <c r="G252" i="18"/>
  <c r="F252" i="18" s="1"/>
  <c r="G251" i="18"/>
  <c r="F251" i="18" s="1"/>
  <c r="G249" i="18"/>
  <c r="G247" i="18"/>
  <c r="F247" i="18" s="1"/>
  <c r="G246" i="18"/>
  <c r="F246" i="18" s="1"/>
  <c r="G245" i="18"/>
  <c r="F245" i="18" s="1"/>
  <c r="G244" i="18"/>
  <c r="F244" i="18" s="1"/>
  <c r="G243" i="18"/>
  <c r="F243" i="18" s="1"/>
  <c r="G242" i="18"/>
  <c r="F242" i="18" s="1"/>
  <c r="G241" i="18"/>
  <c r="F241" i="18" s="1"/>
  <c r="G240" i="18"/>
  <c r="F240" i="18" s="1"/>
  <c r="G239" i="18"/>
  <c r="F239" i="18" s="1"/>
  <c r="G238" i="18"/>
  <c r="F238" i="18" s="1"/>
  <c r="G237" i="18"/>
  <c r="F237" i="18" s="1"/>
  <c r="G236" i="18"/>
  <c r="G235" i="18"/>
  <c r="F235" i="18" s="1"/>
  <c r="G234" i="18"/>
  <c r="F234" i="18" s="1"/>
  <c r="G233" i="18"/>
  <c r="G229" i="18"/>
  <c r="F229" i="18" s="1"/>
  <c r="G228" i="18"/>
  <c r="F228" i="18" s="1"/>
  <c r="G227" i="18"/>
  <c r="F227" i="18" s="1"/>
  <c r="G226" i="18"/>
  <c r="F226" i="18" s="1"/>
  <c r="G225" i="18"/>
  <c r="F225" i="18" s="1"/>
  <c r="G224" i="18"/>
  <c r="F224" i="18" s="1"/>
  <c r="G223" i="18"/>
  <c r="F223" i="18" s="1"/>
  <c r="G222" i="18"/>
  <c r="F222" i="18" s="1"/>
  <c r="G221" i="18"/>
  <c r="F221" i="18" s="1"/>
  <c r="G220" i="18"/>
  <c r="F220" i="18" s="1"/>
  <c r="G219" i="18"/>
  <c r="F219" i="18" s="1"/>
  <c r="G217" i="18"/>
  <c r="F217" i="18" s="1"/>
  <c r="G216" i="18"/>
  <c r="F216" i="18" s="1"/>
  <c r="G215" i="18"/>
  <c r="F215" i="18" s="1"/>
  <c r="G213" i="18"/>
  <c r="F213" i="18" s="1"/>
  <c r="G211" i="18"/>
  <c r="F211" i="18" s="1"/>
  <c r="G210" i="18"/>
  <c r="F210" i="18" s="1"/>
  <c r="G208" i="18"/>
  <c r="G207" i="18"/>
  <c r="F207" i="18" s="1"/>
  <c r="G205" i="18"/>
  <c r="F205" i="18" s="1"/>
  <c r="G204" i="18"/>
  <c r="F204" i="18" s="1"/>
  <c r="G203" i="18"/>
  <c r="F203" i="18" s="1"/>
  <c r="G201" i="18"/>
  <c r="F201" i="18" s="1"/>
  <c r="G200" i="18"/>
  <c r="F200" i="18" s="1"/>
  <c r="G199" i="18"/>
  <c r="F199" i="18" s="1"/>
  <c r="G197" i="18"/>
  <c r="F197" i="18" s="1"/>
  <c r="G196" i="18"/>
  <c r="F196" i="18" s="1"/>
  <c r="G195" i="18"/>
  <c r="F195" i="18" s="1"/>
  <c r="G194" i="18"/>
  <c r="F194" i="18" s="1"/>
  <c r="G193" i="18"/>
  <c r="F193" i="18" s="1"/>
  <c r="G191" i="18"/>
  <c r="F191" i="18" s="1"/>
  <c r="G190" i="18"/>
  <c r="F190" i="18" s="1"/>
  <c r="G188" i="18"/>
  <c r="F188" i="18" s="1"/>
  <c r="G187" i="18"/>
  <c r="F187" i="18" s="1"/>
  <c r="G185" i="18"/>
  <c r="F185" i="18" s="1"/>
  <c r="G184" i="18"/>
  <c r="F184" i="18" s="1"/>
  <c r="G183" i="18"/>
  <c r="F183" i="18" s="1"/>
  <c r="G182" i="18"/>
  <c r="F182" i="18" s="1"/>
  <c r="G180" i="18"/>
  <c r="F180" i="18" s="1"/>
  <c r="G178" i="18"/>
  <c r="F178" i="18" s="1"/>
  <c r="G175" i="18"/>
  <c r="F175" i="18" s="1"/>
  <c r="G174" i="18"/>
  <c r="F174" i="18" s="1"/>
  <c r="G173" i="18"/>
  <c r="F173" i="18" s="1"/>
  <c r="G172" i="18"/>
  <c r="F172" i="18" s="1"/>
  <c r="G171" i="18"/>
  <c r="F171" i="18" s="1"/>
  <c r="G170" i="18"/>
  <c r="F170" i="18" s="1"/>
  <c r="G169" i="18"/>
  <c r="F169" i="18" s="1"/>
  <c r="G168" i="18"/>
  <c r="F168" i="18" s="1"/>
  <c r="G167" i="18"/>
  <c r="G166" i="18"/>
  <c r="F166" i="18" s="1"/>
  <c r="G165" i="18"/>
  <c r="F165" i="18" s="1"/>
  <c r="G164" i="18"/>
  <c r="F164" i="18" s="1"/>
  <c r="G163" i="18"/>
  <c r="F163" i="18" s="1"/>
  <c r="G162" i="18"/>
  <c r="F162" i="18" s="1"/>
  <c r="G161" i="18"/>
  <c r="F161" i="18" s="1"/>
  <c r="G157" i="18"/>
  <c r="F157" i="18" s="1"/>
  <c r="G156" i="18"/>
  <c r="F156" i="18" s="1"/>
  <c r="G155" i="18"/>
  <c r="F155" i="18" s="1"/>
  <c r="G154" i="18"/>
  <c r="F154" i="18" s="1"/>
  <c r="G153" i="18"/>
  <c r="F153" i="18" s="1"/>
  <c r="G152" i="18"/>
  <c r="F152" i="18" s="1"/>
  <c r="G151" i="18"/>
  <c r="F151" i="18" s="1"/>
  <c r="G150" i="18"/>
  <c r="F150" i="18" s="1"/>
  <c r="G149" i="18"/>
  <c r="F149" i="18" s="1"/>
  <c r="G148" i="18"/>
  <c r="G147" i="18"/>
  <c r="G145" i="18"/>
  <c r="F145" i="18" s="1"/>
  <c r="G144" i="18"/>
  <c r="F144" i="18" s="1"/>
  <c r="G143" i="18"/>
  <c r="F143" i="18" s="1"/>
  <c r="G141" i="18"/>
  <c r="F141" i="18" s="1"/>
  <c r="G140" i="18"/>
  <c r="F140" i="18" s="1"/>
  <c r="G139" i="18"/>
  <c r="F139" i="18" s="1"/>
  <c r="G138" i="18"/>
  <c r="F138" i="18" s="1"/>
  <c r="G136" i="18"/>
  <c r="F136" i="18" s="1"/>
  <c r="G135" i="18"/>
  <c r="F135" i="18" s="1"/>
  <c r="G134" i="18"/>
  <c r="F134" i="18" s="1"/>
  <c r="G133" i="18"/>
  <c r="F133" i="18" s="1"/>
  <c r="G132" i="18"/>
  <c r="F132" i="18" s="1"/>
  <c r="G131" i="18"/>
  <c r="F131" i="18" s="1"/>
  <c r="G129" i="18"/>
  <c r="F129" i="18" s="1"/>
  <c r="G128" i="18"/>
  <c r="F128" i="18" s="1"/>
  <c r="G127" i="18"/>
  <c r="F127" i="18" s="1"/>
  <c r="G125" i="18"/>
  <c r="F125" i="18" s="1"/>
  <c r="G124" i="18"/>
  <c r="F124" i="18" s="1"/>
  <c r="G123" i="18"/>
  <c r="F123" i="18" s="1"/>
  <c r="G122" i="18"/>
  <c r="F122" i="18" s="1"/>
  <c r="G121" i="18"/>
  <c r="F121" i="18" s="1"/>
  <c r="G120" i="18"/>
  <c r="F120" i="18" s="1"/>
  <c r="G119" i="18"/>
  <c r="F119" i="18" s="1"/>
  <c r="G114" i="18"/>
  <c r="F114" i="18" s="1"/>
  <c r="G113" i="18"/>
  <c r="F113" i="18" s="1"/>
  <c r="G112" i="18"/>
  <c r="F112" i="18" s="1"/>
  <c r="G111" i="18"/>
  <c r="F111" i="18" s="1"/>
  <c r="G110" i="18"/>
  <c r="F110" i="18" s="1"/>
  <c r="G106" i="18"/>
  <c r="F106" i="18" s="1"/>
  <c r="G105" i="18"/>
  <c r="F105" i="18" s="1"/>
  <c r="G102" i="18"/>
  <c r="F102" i="18" s="1"/>
  <c r="G100" i="18"/>
  <c r="F100" i="18" s="1"/>
  <c r="G98" i="18"/>
  <c r="F98" i="18" s="1"/>
  <c r="G97" i="18"/>
  <c r="F97" i="18" s="1"/>
  <c r="G95" i="18"/>
  <c r="F95" i="18" s="1"/>
  <c r="G93" i="18"/>
  <c r="F93" i="18" s="1"/>
  <c r="G90" i="18"/>
  <c r="F90" i="18" s="1"/>
  <c r="G89" i="18"/>
  <c r="F89" i="18" s="1"/>
  <c r="G88" i="18"/>
  <c r="F88" i="18" s="1"/>
  <c r="G87" i="18"/>
  <c r="F87" i="18" s="1"/>
  <c r="G86" i="18"/>
  <c r="F86" i="18" s="1"/>
  <c r="G82" i="18"/>
  <c r="F82" i="18" s="1"/>
  <c r="G81" i="18"/>
  <c r="F81" i="18" s="1"/>
  <c r="G80" i="18"/>
  <c r="F80" i="18" s="1"/>
  <c r="G79" i="18"/>
  <c r="F79" i="18" s="1"/>
  <c r="G78" i="18"/>
  <c r="F78" i="18" s="1"/>
  <c r="G77" i="18"/>
  <c r="F77" i="18" s="1"/>
  <c r="G76" i="18"/>
  <c r="F76" i="18" s="1"/>
  <c r="G75" i="18"/>
  <c r="F75" i="18" s="1"/>
  <c r="G70" i="18"/>
  <c r="F70" i="18" s="1"/>
  <c r="G69" i="18"/>
  <c r="F69" i="18" s="1"/>
  <c r="G68" i="18"/>
  <c r="F68" i="18" s="1"/>
  <c r="G67" i="18"/>
  <c r="F67" i="18" s="1"/>
  <c r="G66" i="18"/>
  <c r="F66" i="18" s="1"/>
  <c r="G65" i="18"/>
  <c r="F65" i="18" s="1"/>
  <c r="G63" i="18"/>
  <c r="F63" i="18" s="1"/>
  <c r="G62" i="18"/>
  <c r="F62" i="18" s="1"/>
  <c r="G61" i="18"/>
  <c r="F61" i="18" s="1"/>
  <c r="G60" i="18"/>
  <c r="F60" i="18" s="1"/>
  <c r="G59" i="18"/>
  <c r="F59" i="18" s="1"/>
  <c r="G58" i="18"/>
  <c r="F58" i="18" s="1"/>
  <c r="G56" i="18"/>
  <c r="F56" i="18" s="1"/>
  <c r="G53" i="18"/>
  <c r="F53" i="18" s="1"/>
  <c r="G52" i="18"/>
  <c r="F52" i="18" s="1"/>
  <c r="G51" i="18"/>
  <c r="F51" i="18" s="1"/>
  <c r="G50" i="18"/>
  <c r="F50" i="18" s="1"/>
  <c r="G49" i="18"/>
  <c r="F49" i="18" s="1"/>
  <c r="G48" i="18"/>
  <c r="F48" i="18" s="1"/>
  <c r="G47" i="18"/>
  <c r="F47" i="18" s="1"/>
  <c r="G46" i="18"/>
  <c r="F46" i="18" s="1"/>
  <c r="G45" i="18"/>
  <c r="F45" i="18" s="1"/>
  <c r="G44" i="18"/>
  <c r="F44" i="18" s="1"/>
  <c r="G43" i="18"/>
  <c r="F43" i="18" s="1"/>
  <c r="G42" i="18"/>
  <c r="F42" i="18" s="1"/>
  <c r="G41" i="18"/>
  <c r="F41" i="18" s="1"/>
  <c r="G40" i="18"/>
  <c r="F40" i="18" s="1"/>
  <c r="G39" i="18"/>
  <c r="F39" i="18" s="1"/>
  <c r="G38" i="18"/>
  <c r="F38" i="18" s="1"/>
  <c r="G37" i="18"/>
  <c r="F37" i="18" s="1"/>
  <c r="G36" i="18"/>
  <c r="F36" i="18" s="1"/>
  <c r="G35" i="18"/>
  <c r="F35" i="18" s="1"/>
  <c r="G34" i="18"/>
  <c r="F34" i="18" s="1"/>
  <c r="G33" i="18"/>
  <c r="F33" i="18" s="1"/>
  <c r="G32" i="18"/>
  <c r="F32" i="18" s="1"/>
  <c r="G31" i="18"/>
  <c r="F31" i="18" s="1"/>
  <c r="G30" i="18"/>
  <c r="F30" i="18" s="1"/>
  <c r="G29" i="18"/>
  <c r="F29" i="18" s="1"/>
  <c r="G28" i="18"/>
  <c r="F28" i="18" s="1"/>
  <c r="G27" i="18"/>
  <c r="F27" i="18" s="1"/>
  <c r="G26" i="18"/>
  <c r="F26" i="18" s="1"/>
  <c r="G25" i="18"/>
  <c r="F25" i="18" s="1"/>
  <c r="G24" i="18"/>
  <c r="F24" i="18" s="1"/>
  <c r="G23" i="18"/>
  <c r="F23" i="18" s="1"/>
  <c r="G22" i="18"/>
  <c r="F22" i="18" s="1"/>
  <c r="G21" i="18"/>
  <c r="F21" i="18" s="1"/>
  <c r="G20" i="18"/>
  <c r="F20" i="18" s="1"/>
  <c r="G19" i="18"/>
  <c r="F19" i="18" s="1"/>
  <c r="G18" i="18"/>
  <c r="F18" i="18" s="1"/>
  <c r="M346" i="18"/>
  <c r="K346" i="18"/>
  <c r="M345" i="18"/>
  <c r="K345" i="18"/>
  <c r="F345" i="18"/>
  <c r="M344" i="18"/>
  <c r="K344" i="18"/>
  <c r="M343" i="18"/>
  <c r="D343" i="18" s="1"/>
  <c r="K343" i="18"/>
  <c r="M342" i="18"/>
  <c r="K342" i="18"/>
  <c r="M341" i="18"/>
  <c r="K341" i="18"/>
  <c r="F341" i="18"/>
  <c r="M340" i="18"/>
  <c r="K340" i="18"/>
  <c r="M339" i="18"/>
  <c r="K339" i="18"/>
  <c r="M338" i="18"/>
  <c r="K338" i="18"/>
  <c r="D338" i="18" s="1"/>
  <c r="M337" i="18"/>
  <c r="K337" i="18"/>
  <c r="M336" i="18"/>
  <c r="K336" i="18"/>
  <c r="M335" i="18"/>
  <c r="K335" i="18"/>
  <c r="M334" i="18"/>
  <c r="K334" i="18"/>
  <c r="M333" i="18"/>
  <c r="K333" i="18"/>
  <c r="D333" i="18" s="1"/>
  <c r="M332" i="18"/>
  <c r="K332" i="18"/>
  <c r="M331" i="18"/>
  <c r="K331" i="18"/>
  <c r="M329" i="18"/>
  <c r="K329" i="18"/>
  <c r="M328" i="18"/>
  <c r="K328" i="18"/>
  <c r="M327" i="18"/>
  <c r="K327" i="18"/>
  <c r="M326" i="18"/>
  <c r="K326" i="18"/>
  <c r="M325" i="18"/>
  <c r="K325" i="18"/>
  <c r="M324" i="18"/>
  <c r="K324" i="18"/>
  <c r="M323" i="18"/>
  <c r="K323" i="18"/>
  <c r="F323" i="18"/>
  <c r="M322" i="18"/>
  <c r="K322" i="18"/>
  <c r="F322" i="18"/>
  <c r="M321" i="18"/>
  <c r="K321" i="18"/>
  <c r="D321" i="18" s="1"/>
  <c r="M320" i="18"/>
  <c r="K320" i="18"/>
  <c r="D320" i="18" s="1"/>
  <c r="M319" i="18"/>
  <c r="K319" i="18"/>
  <c r="D319" i="18" s="1"/>
  <c r="M318" i="18"/>
  <c r="K318" i="18"/>
  <c r="D318" i="18" s="1"/>
  <c r="M317" i="18"/>
  <c r="K317" i="18"/>
  <c r="M316" i="18"/>
  <c r="K316" i="18"/>
  <c r="M315" i="18"/>
  <c r="K315" i="18"/>
  <c r="D315" i="18" s="1"/>
  <c r="M314" i="18"/>
  <c r="K314" i="18"/>
  <c r="M313" i="18"/>
  <c r="K313" i="18"/>
  <c r="M312" i="18"/>
  <c r="K312" i="18"/>
  <c r="M311" i="18"/>
  <c r="K311" i="18"/>
  <c r="M310" i="18"/>
  <c r="K310" i="18"/>
  <c r="D310" i="18" s="1"/>
  <c r="M309" i="18"/>
  <c r="K309" i="18"/>
  <c r="D309" i="18" s="1"/>
  <c r="M308" i="18"/>
  <c r="K308" i="18"/>
  <c r="M307" i="18"/>
  <c r="K307" i="18"/>
  <c r="F307" i="18"/>
  <c r="M306" i="18"/>
  <c r="K306" i="18"/>
  <c r="M305" i="18"/>
  <c r="K305" i="18"/>
  <c r="D305" i="18" s="1"/>
  <c r="M304" i="18"/>
  <c r="K304" i="18"/>
  <c r="D304" i="18" s="1"/>
  <c r="M303" i="18"/>
  <c r="K303" i="18"/>
  <c r="D303" i="18" s="1"/>
  <c r="M302" i="18"/>
  <c r="K302" i="18"/>
  <c r="D302" i="18" s="1"/>
  <c r="M301" i="18"/>
  <c r="K301" i="18"/>
  <c r="F301" i="18"/>
  <c r="M300" i="18"/>
  <c r="K300" i="18"/>
  <c r="D300" i="18"/>
  <c r="M299" i="18"/>
  <c r="K299" i="18"/>
  <c r="F299" i="18"/>
  <c r="M298" i="18"/>
  <c r="K298" i="18"/>
  <c r="M297" i="18"/>
  <c r="K297" i="18"/>
  <c r="M296" i="18"/>
  <c r="K296" i="18"/>
  <c r="M295" i="18"/>
  <c r="K295" i="18"/>
  <c r="F295" i="18"/>
  <c r="M294" i="18"/>
  <c r="K294" i="18"/>
  <c r="D294" i="18" s="1"/>
  <c r="F294" i="18"/>
  <c r="M293" i="18"/>
  <c r="K293" i="18"/>
  <c r="F293" i="18"/>
  <c r="M291" i="18"/>
  <c r="K291" i="18"/>
  <c r="M289" i="18"/>
  <c r="K289" i="18"/>
  <c r="D289" i="18" s="1"/>
  <c r="M288" i="18"/>
  <c r="K288" i="18"/>
  <c r="D288" i="18" s="1"/>
  <c r="M287" i="18"/>
  <c r="K287" i="18"/>
  <c r="M286" i="18"/>
  <c r="K286" i="18"/>
  <c r="F286" i="18"/>
  <c r="M285" i="18"/>
  <c r="K285" i="18"/>
  <c r="M284" i="18"/>
  <c r="K284" i="18"/>
  <c r="M283" i="18"/>
  <c r="K283" i="18"/>
  <c r="M282" i="18"/>
  <c r="K282" i="18"/>
  <c r="M281" i="18"/>
  <c r="K281" i="18"/>
  <c r="D281" i="18" s="1"/>
  <c r="M280" i="18"/>
  <c r="K280" i="18"/>
  <c r="M279" i="18"/>
  <c r="K279" i="18"/>
  <c r="M278" i="18"/>
  <c r="K278" i="18"/>
  <c r="F278" i="18"/>
  <c r="M277" i="18"/>
  <c r="K277" i="18"/>
  <c r="M276" i="18"/>
  <c r="K276" i="18"/>
  <c r="M275" i="18"/>
  <c r="K275" i="18"/>
  <c r="D275" i="18" s="1"/>
  <c r="M274" i="18"/>
  <c r="K274" i="18"/>
  <c r="D274" i="18" s="1"/>
  <c r="F274" i="18"/>
  <c r="M273" i="18"/>
  <c r="K273" i="18"/>
  <c r="M272" i="18"/>
  <c r="K272" i="18"/>
  <c r="F272" i="18"/>
  <c r="M271" i="18"/>
  <c r="K271" i="18"/>
  <c r="D271" i="18" s="1"/>
  <c r="M270" i="18"/>
  <c r="K270" i="18"/>
  <c r="D270" i="18" s="1"/>
  <c r="M269" i="18"/>
  <c r="K269" i="18"/>
  <c r="M268" i="18"/>
  <c r="K268" i="18"/>
  <c r="M267" i="18"/>
  <c r="K267" i="18"/>
  <c r="D267" i="18" s="1"/>
  <c r="M266" i="18"/>
  <c r="K266" i="18"/>
  <c r="D266" i="18" s="1"/>
  <c r="M265" i="18"/>
  <c r="K265" i="18"/>
  <c r="M264" i="18"/>
  <c r="K264" i="18"/>
  <c r="M263" i="18"/>
  <c r="K263" i="18"/>
  <c r="M262" i="18"/>
  <c r="K262" i="18"/>
  <c r="M261" i="18"/>
  <c r="K261" i="18"/>
  <c r="M260" i="18"/>
  <c r="K260" i="18"/>
  <c r="F260" i="18"/>
  <c r="M259" i="18"/>
  <c r="K259" i="18"/>
  <c r="M258" i="18"/>
  <c r="K258" i="18"/>
  <c r="D258" i="18" s="1"/>
  <c r="M257" i="18"/>
  <c r="K257" i="18"/>
  <c r="D257" i="18" s="1"/>
  <c r="M256" i="18"/>
  <c r="K256" i="18"/>
  <c r="F256" i="18"/>
  <c r="M255" i="18"/>
  <c r="K255" i="18"/>
  <c r="M254" i="18"/>
  <c r="K254" i="18"/>
  <c r="M253" i="18"/>
  <c r="K253" i="18"/>
  <c r="M252" i="18"/>
  <c r="K252" i="18"/>
  <c r="D252" i="18" s="1"/>
  <c r="M251" i="18"/>
  <c r="D251" i="18" s="1"/>
  <c r="K251" i="18"/>
  <c r="M250" i="18"/>
  <c r="K250" i="18"/>
  <c r="M249" i="18"/>
  <c r="K249" i="18"/>
  <c r="F249" i="18"/>
  <c r="M248" i="18"/>
  <c r="K248" i="18"/>
  <c r="M247" i="18"/>
  <c r="K247" i="18"/>
  <c r="M246" i="18"/>
  <c r="K246" i="18"/>
  <c r="M245" i="18"/>
  <c r="K245" i="18"/>
  <c r="M244" i="18"/>
  <c r="K244" i="18"/>
  <c r="M243" i="18"/>
  <c r="K243" i="18"/>
  <c r="M242" i="18"/>
  <c r="K242" i="18"/>
  <c r="D242" i="18" s="1"/>
  <c r="M241" i="18"/>
  <c r="K241" i="18"/>
  <c r="M240" i="18"/>
  <c r="K240" i="18"/>
  <c r="D240" i="18" s="1"/>
  <c r="M239" i="18"/>
  <c r="K239" i="18"/>
  <c r="M238" i="18"/>
  <c r="K238" i="18"/>
  <c r="M237" i="18"/>
  <c r="K237" i="18"/>
  <c r="M236" i="18"/>
  <c r="K236" i="18"/>
  <c r="D236" i="18" s="1"/>
  <c r="F236" i="18"/>
  <c r="M235" i="18"/>
  <c r="K235" i="18"/>
  <c r="M234" i="18"/>
  <c r="K234" i="18"/>
  <c r="M233" i="18"/>
  <c r="K233" i="18"/>
  <c r="F233" i="18"/>
  <c r="M232" i="18"/>
  <c r="K232" i="18"/>
  <c r="M231" i="18"/>
  <c r="K231" i="18"/>
  <c r="M230" i="18"/>
  <c r="K230" i="18"/>
  <c r="M229" i="18"/>
  <c r="K229" i="18"/>
  <c r="M228" i="18"/>
  <c r="K228" i="18"/>
  <c r="D228" i="18" s="1"/>
  <c r="M227" i="18"/>
  <c r="K227" i="18"/>
  <c r="M226" i="18"/>
  <c r="K226" i="18"/>
  <c r="M225" i="18"/>
  <c r="K225" i="18"/>
  <c r="M224" i="18"/>
  <c r="K224" i="18"/>
  <c r="M223" i="18"/>
  <c r="K223" i="18"/>
  <c r="M222" i="18"/>
  <c r="K222" i="18"/>
  <c r="M221" i="18"/>
  <c r="K221" i="18"/>
  <c r="M220" i="18"/>
  <c r="K220" i="18"/>
  <c r="M219" i="18"/>
  <c r="K219" i="18"/>
  <c r="M217" i="18"/>
  <c r="K217" i="18"/>
  <c r="M216" i="18"/>
  <c r="K216" i="18"/>
  <c r="M215" i="18"/>
  <c r="K215" i="18"/>
  <c r="M214" i="18"/>
  <c r="K214" i="18"/>
  <c r="M213" i="18"/>
  <c r="K213" i="18"/>
  <c r="M212" i="18"/>
  <c r="K212" i="18"/>
  <c r="M211" i="18"/>
  <c r="K211" i="18"/>
  <c r="M210" i="18"/>
  <c r="K210" i="18"/>
  <c r="D210" i="18" s="1"/>
  <c r="M209" i="18"/>
  <c r="K209" i="18"/>
  <c r="M208" i="18"/>
  <c r="K208" i="18"/>
  <c r="D208" i="18" s="1"/>
  <c r="F208" i="18"/>
  <c r="M207" i="18"/>
  <c r="K207" i="18"/>
  <c r="M206" i="18"/>
  <c r="K206" i="18"/>
  <c r="M205" i="18"/>
  <c r="K205" i="18"/>
  <c r="M204" i="18"/>
  <c r="K204" i="18"/>
  <c r="M203" i="18"/>
  <c r="K203" i="18"/>
  <c r="M202" i="18"/>
  <c r="K202" i="18"/>
  <c r="M201" i="18"/>
  <c r="K201" i="18"/>
  <c r="M200" i="18"/>
  <c r="K200" i="18"/>
  <c r="M199" i="18"/>
  <c r="K199" i="18"/>
  <c r="D199" i="18" s="1"/>
  <c r="M198" i="18"/>
  <c r="K198" i="18"/>
  <c r="M197" i="18"/>
  <c r="K197" i="18"/>
  <c r="M196" i="18"/>
  <c r="K196" i="18"/>
  <c r="M195" i="18"/>
  <c r="K195" i="18"/>
  <c r="D195" i="18" s="1"/>
  <c r="M194" i="18"/>
  <c r="K194" i="18"/>
  <c r="M193" i="18"/>
  <c r="K193" i="18"/>
  <c r="D193" i="18"/>
  <c r="M192" i="18"/>
  <c r="K192" i="18"/>
  <c r="M191" i="18"/>
  <c r="K191" i="18"/>
  <c r="M190" i="18"/>
  <c r="K190" i="18"/>
  <c r="M189" i="18"/>
  <c r="K189" i="18"/>
  <c r="M188" i="18"/>
  <c r="K188" i="18"/>
  <c r="M187" i="18"/>
  <c r="K187" i="18"/>
  <c r="M186" i="18"/>
  <c r="K186" i="18"/>
  <c r="M185" i="18"/>
  <c r="K185" i="18"/>
  <c r="M184" i="18"/>
  <c r="K184" i="18"/>
  <c r="M183" i="18"/>
  <c r="K183" i="18"/>
  <c r="M182" i="18"/>
  <c r="K182" i="18"/>
  <c r="M181" i="18"/>
  <c r="K181" i="18"/>
  <c r="M180" i="18"/>
  <c r="K180" i="18"/>
  <c r="D180" i="18" s="1"/>
  <c r="M179" i="18"/>
  <c r="K179" i="18"/>
  <c r="M178" i="18"/>
  <c r="K178" i="18"/>
  <c r="M177" i="18"/>
  <c r="K177" i="18"/>
  <c r="M176" i="18"/>
  <c r="K176" i="18"/>
  <c r="M175" i="18"/>
  <c r="K175" i="18"/>
  <c r="M174" i="18"/>
  <c r="K174" i="18"/>
  <c r="M173" i="18"/>
  <c r="K173" i="18"/>
  <c r="M172" i="18"/>
  <c r="K172" i="18"/>
  <c r="M171" i="18"/>
  <c r="K171" i="18"/>
  <c r="D171" i="18" s="1"/>
  <c r="M170" i="18"/>
  <c r="K170" i="18"/>
  <c r="M169" i="18"/>
  <c r="K169" i="18"/>
  <c r="D169" i="18" s="1"/>
  <c r="M168" i="18"/>
  <c r="K168" i="18"/>
  <c r="M167" i="18"/>
  <c r="K167" i="18"/>
  <c r="F167" i="18"/>
  <c r="M166" i="18"/>
  <c r="K166" i="18"/>
  <c r="M165" i="18"/>
  <c r="K165" i="18"/>
  <c r="D165" i="18" s="1"/>
  <c r="M164" i="18"/>
  <c r="K164" i="18"/>
  <c r="M163" i="18"/>
  <c r="K163" i="18"/>
  <c r="M162" i="18"/>
  <c r="K162" i="18"/>
  <c r="M161" i="18"/>
  <c r="K161" i="18"/>
  <c r="M160" i="18"/>
  <c r="K160" i="18"/>
  <c r="D160" i="18" s="1"/>
  <c r="M159" i="18"/>
  <c r="K159" i="18"/>
  <c r="M158" i="18"/>
  <c r="K158" i="18"/>
  <c r="M157" i="18"/>
  <c r="K157" i="18"/>
  <c r="D157" i="18" s="1"/>
  <c r="M156" i="18"/>
  <c r="K156" i="18"/>
  <c r="D156" i="18" s="1"/>
  <c r="M155" i="18"/>
  <c r="K155" i="18"/>
  <c r="D155" i="18" s="1"/>
  <c r="M154" i="18"/>
  <c r="K154" i="18"/>
  <c r="M153" i="18"/>
  <c r="K153" i="18"/>
  <c r="M152" i="18"/>
  <c r="K152" i="18"/>
  <c r="D152" i="18" s="1"/>
  <c r="M151" i="18"/>
  <c r="K151" i="18"/>
  <c r="D151" i="18" s="1"/>
  <c r="M150" i="18"/>
  <c r="K150" i="18"/>
  <c r="D150" i="18"/>
  <c r="M149" i="18"/>
  <c r="K149" i="18"/>
  <c r="M148" i="18"/>
  <c r="K148" i="18"/>
  <c r="F148" i="18"/>
  <c r="M147" i="18"/>
  <c r="K147" i="18"/>
  <c r="F147" i="18"/>
  <c r="M145" i="18"/>
  <c r="K145" i="18"/>
  <c r="M144" i="18"/>
  <c r="K144" i="18"/>
  <c r="M143" i="18"/>
  <c r="K143" i="18"/>
  <c r="M142" i="18"/>
  <c r="K142" i="18"/>
  <c r="M141" i="18"/>
  <c r="K141" i="18"/>
  <c r="M140" i="18"/>
  <c r="K140" i="18"/>
  <c r="M139" i="18"/>
  <c r="K139" i="18"/>
  <c r="D139" i="18" s="1"/>
  <c r="M138" i="18"/>
  <c r="K138" i="18"/>
  <c r="M137" i="18"/>
  <c r="K137" i="18"/>
  <c r="M136" i="18"/>
  <c r="K136" i="18"/>
  <c r="M135" i="18"/>
  <c r="K135" i="18"/>
  <c r="M134" i="18"/>
  <c r="K134" i="18"/>
  <c r="M133" i="18"/>
  <c r="K133" i="18"/>
  <c r="D133" i="18" s="1"/>
  <c r="M132" i="18"/>
  <c r="K132" i="18"/>
  <c r="M131" i="18"/>
  <c r="K131" i="18"/>
  <c r="M130" i="18"/>
  <c r="K130" i="18"/>
  <c r="M129" i="18"/>
  <c r="K129" i="18"/>
  <c r="M128" i="18"/>
  <c r="K128" i="18"/>
  <c r="D128" i="18" s="1"/>
  <c r="M127" i="18"/>
  <c r="K127" i="18"/>
  <c r="M126" i="18"/>
  <c r="K126" i="18"/>
  <c r="M125" i="18"/>
  <c r="K125" i="18"/>
  <c r="D125" i="18" s="1"/>
  <c r="M124" i="18"/>
  <c r="K124" i="18"/>
  <c r="M123" i="18"/>
  <c r="K123" i="18"/>
  <c r="M122" i="18"/>
  <c r="K122" i="18"/>
  <c r="M121" i="18"/>
  <c r="K121" i="18"/>
  <c r="M120" i="18"/>
  <c r="K120" i="18"/>
  <c r="M119" i="18"/>
  <c r="K119" i="18"/>
  <c r="M118" i="18"/>
  <c r="K118" i="18"/>
  <c r="M117" i="18"/>
  <c r="K117" i="18"/>
  <c r="M116" i="18"/>
  <c r="K116" i="18"/>
  <c r="M115" i="18"/>
  <c r="K115" i="18"/>
  <c r="M114" i="18"/>
  <c r="K114" i="18"/>
  <c r="M113" i="18"/>
  <c r="K113" i="18"/>
  <c r="M112" i="18"/>
  <c r="K112" i="18"/>
  <c r="M111" i="18"/>
  <c r="K111" i="18"/>
  <c r="M110" i="18"/>
  <c r="K110" i="18"/>
  <c r="M109" i="18"/>
  <c r="K109" i="18"/>
  <c r="M108" i="18"/>
  <c r="K108" i="18"/>
  <c r="M107" i="18"/>
  <c r="K107" i="18"/>
  <c r="D107" i="18" s="1"/>
  <c r="M106" i="18"/>
  <c r="K106" i="18"/>
  <c r="M105" i="18"/>
  <c r="K105" i="18"/>
  <c r="M103" i="18"/>
  <c r="K103" i="18"/>
  <c r="M102" i="18"/>
  <c r="K102" i="18"/>
  <c r="M101" i="18"/>
  <c r="K101" i="18"/>
  <c r="D101" i="18" s="1"/>
  <c r="M100" i="18"/>
  <c r="K100" i="18"/>
  <c r="M99" i="18"/>
  <c r="K99" i="18"/>
  <c r="M98" i="18"/>
  <c r="K98" i="18"/>
  <c r="M97" i="18"/>
  <c r="K97" i="18"/>
  <c r="M96" i="18"/>
  <c r="K96" i="18"/>
  <c r="M95" i="18"/>
  <c r="K95" i="18"/>
  <c r="M94" i="18"/>
  <c r="K94" i="18"/>
  <c r="M93" i="18"/>
  <c r="K93" i="18"/>
  <c r="M92" i="18"/>
  <c r="K92" i="18"/>
  <c r="M91" i="18"/>
  <c r="K91" i="18"/>
  <c r="M90" i="18"/>
  <c r="K90" i="18"/>
  <c r="M89" i="18"/>
  <c r="K89" i="18"/>
  <c r="D89" i="18" s="1"/>
  <c r="M88" i="18"/>
  <c r="K88" i="18"/>
  <c r="D88" i="18" s="1"/>
  <c r="M87" i="18"/>
  <c r="K87" i="18"/>
  <c r="M86" i="18"/>
  <c r="K86" i="18"/>
  <c r="M85" i="18"/>
  <c r="K85" i="18"/>
  <c r="M84" i="18"/>
  <c r="K84" i="18"/>
  <c r="M83" i="18"/>
  <c r="K83" i="18"/>
  <c r="M82" i="18"/>
  <c r="K82" i="18"/>
  <c r="M81" i="18"/>
  <c r="K81" i="18"/>
  <c r="M80" i="18"/>
  <c r="K80" i="18"/>
  <c r="M79" i="18"/>
  <c r="K79" i="18"/>
  <c r="M78" i="18"/>
  <c r="K78" i="18"/>
  <c r="M77" i="18"/>
  <c r="K77" i="18"/>
  <c r="D77" i="18" s="1"/>
  <c r="M76" i="18"/>
  <c r="K76" i="18"/>
  <c r="M75" i="18"/>
  <c r="K75" i="18"/>
  <c r="M74" i="18"/>
  <c r="K74" i="18"/>
  <c r="D74" i="18" s="1"/>
  <c r="M73" i="18"/>
  <c r="K73" i="18"/>
  <c r="M72" i="18"/>
  <c r="K72" i="18"/>
  <c r="M71" i="18"/>
  <c r="K71" i="18"/>
  <c r="D71" i="18" s="1"/>
  <c r="M70" i="18"/>
  <c r="K70" i="18"/>
  <c r="M69" i="18"/>
  <c r="K69" i="18"/>
  <c r="D69" i="18" s="1"/>
  <c r="M68" i="18"/>
  <c r="K68" i="18"/>
  <c r="M67" i="18"/>
  <c r="K67" i="18"/>
  <c r="M66" i="18"/>
  <c r="K66" i="18"/>
  <c r="M65" i="18"/>
  <c r="K65" i="18"/>
  <c r="D65" i="18" s="1"/>
  <c r="M64" i="18"/>
  <c r="K64" i="18"/>
  <c r="M63" i="18"/>
  <c r="K63" i="18"/>
  <c r="D63" i="18" s="1"/>
  <c r="M62" i="18"/>
  <c r="K62" i="18"/>
  <c r="M61" i="18"/>
  <c r="K61" i="18"/>
  <c r="M60" i="18"/>
  <c r="K60" i="18"/>
  <c r="D60" i="18" s="1"/>
  <c r="M59" i="18"/>
  <c r="K59" i="18"/>
  <c r="M58" i="18"/>
  <c r="K58" i="18"/>
  <c r="M57" i="18"/>
  <c r="K57" i="18"/>
  <c r="D57" i="18" s="1"/>
  <c r="M56" i="18"/>
  <c r="K56" i="18"/>
  <c r="M55" i="18"/>
  <c r="K55" i="18"/>
  <c r="M54" i="18"/>
  <c r="K54" i="18"/>
  <c r="M53" i="18"/>
  <c r="K53" i="18"/>
  <c r="M52" i="18"/>
  <c r="K52" i="18"/>
  <c r="D52" i="18" s="1"/>
  <c r="M51" i="18"/>
  <c r="K51" i="18"/>
  <c r="M50" i="18"/>
  <c r="K50" i="18"/>
  <c r="M49" i="18"/>
  <c r="K49" i="18"/>
  <c r="M48" i="18"/>
  <c r="K48" i="18"/>
  <c r="M47" i="18"/>
  <c r="K47" i="18"/>
  <c r="D47" i="18" s="1"/>
  <c r="M46" i="18"/>
  <c r="K46" i="18"/>
  <c r="M45" i="18"/>
  <c r="K45" i="18"/>
  <c r="M44" i="18"/>
  <c r="K44" i="18"/>
  <c r="M43" i="18"/>
  <c r="K43" i="18"/>
  <c r="M42" i="18"/>
  <c r="K42" i="18"/>
  <c r="M41" i="18"/>
  <c r="K41" i="18"/>
  <c r="M40" i="18"/>
  <c r="K40" i="18"/>
  <c r="M39" i="18"/>
  <c r="K39" i="18"/>
  <c r="D39" i="18" s="1"/>
  <c r="M38" i="18"/>
  <c r="K38" i="18"/>
  <c r="D38" i="18" s="1"/>
  <c r="M37" i="18"/>
  <c r="K37" i="18"/>
  <c r="D37" i="18" s="1"/>
  <c r="M36" i="18"/>
  <c r="K36" i="18"/>
  <c r="M35" i="18"/>
  <c r="K35" i="18"/>
  <c r="D35" i="18"/>
  <c r="M34" i="18"/>
  <c r="K34" i="18"/>
  <c r="M33" i="18"/>
  <c r="K33" i="18"/>
  <c r="M32" i="18"/>
  <c r="K32" i="18"/>
  <c r="D32" i="18" s="1"/>
  <c r="M31" i="18"/>
  <c r="K31" i="18"/>
  <c r="M30" i="18"/>
  <c r="K30" i="18"/>
  <c r="M29" i="18"/>
  <c r="K29" i="18"/>
  <c r="M28" i="18"/>
  <c r="K28" i="18"/>
  <c r="M27" i="18"/>
  <c r="K27" i="18"/>
  <c r="M26" i="18"/>
  <c r="K26" i="18"/>
  <c r="D26" i="18" s="1"/>
  <c r="M25" i="18"/>
  <c r="K25" i="18"/>
  <c r="M24" i="18"/>
  <c r="K24" i="18"/>
  <c r="D24" i="18" s="1"/>
  <c r="M23" i="18"/>
  <c r="K23" i="18"/>
  <c r="M22" i="18"/>
  <c r="K22" i="18"/>
  <c r="M21" i="18"/>
  <c r="K21" i="18"/>
  <c r="D21" i="18" s="1"/>
  <c r="M20" i="18"/>
  <c r="K20" i="18"/>
  <c r="M19" i="18"/>
  <c r="K19" i="18"/>
  <c r="M18" i="18"/>
  <c r="K18" i="18"/>
  <c r="M17" i="18"/>
  <c r="K17" i="18"/>
  <c r="M16" i="18"/>
  <c r="K16" i="18"/>
  <c r="D16" i="18" s="1"/>
  <c r="M15" i="18"/>
  <c r="K15" i="18"/>
  <c r="M14" i="18"/>
  <c r="K14" i="18"/>
  <c r="M13" i="18"/>
  <c r="K13" i="18"/>
  <c r="M12" i="18"/>
  <c r="K12" i="18"/>
  <c r="F12" i="18"/>
  <c r="M11" i="18"/>
  <c r="K11" i="18"/>
  <c r="M10" i="18"/>
  <c r="K10" i="18"/>
  <c r="M9" i="18"/>
  <c r="K9" i="18"/>
  <c r="M8" i="18"/>
  <c r="K8" i="18"/>
  <c r="M7" i="18"/>
  <c r="K7" i="18"/>
  <c r="M6" i="18"/>
  <c r="K6" i="18"/>
  <c r="M5" i="18"/>
  <c r="D5" i="18" s="1"/>
  <c r="K5" i="18"/>
  <c r="F108" i="17"/>
  <c r="G91" i="18" s="1"/>
  <c r="F91" i="18" s="1"/>
  <c r="G108" i="17"/>
  <c r="G108" i="18" s="1"/>
  <c r="F108" i="18" s="1"/>
  <c r="H108" i="17"/>
  <c r="I108" i="17"/>
  <c r="J108" i="17"/>
  <c r="K108" i="17"/>
  <c r="L108" i="17"/>
  <c r="M108" i="17"/>
  <c r="G176" i="18" s="1"/>
  <c r="F176" i="18" s="1"/>
  <c r="N108" i="17"/>
  <c r="G248" i="18" s="1"/>
  <c r="F248" i="18" s="1"/>
  <c r="O108" i="17"/>
  <c r="G321" i="18" s="1"/>
  <c r="F321" i="18" s="1"/>
  <c r="P108" i="17"/>
  <c r="G326" i="18" s="1"/>
  <c r="F326" i="18" s="1"/>
  <c r="Q108" i="17"/>
  <c r="G330" i="18" s="1"/>
  <c r="F330" i="18" s="1"/>
  <c r="R108" i="17"/>
  <c r="S108" i="17"/>
  <c r="T108" i="17"/>
  <c r="G338" i="18" s="1"/>
  <c r="F338" i="18" s="1"/>
  <c r="U108" i="17"/>
  <c r="V108" i="17"/>
  <c r="W108" i="17"/>
  <c r="Y108" i="17"/>
  <c r="Z108" i="17"/>
  <c r="AA108" i="17"/>
  <c r="AB108" i="17"/>
  <c r="AC108" i="17"/>
  <c r="AD108" i="17"/>
  <c r="AE108" i="17"/>
  <c r="AF108" i="17"/>
  <c r="AG108" i="17"/>
  <c r="AH108" i="17"/>
  <c r="AI108" i="17"/>
  <c r="AJ108" i="17"/>
  <c r="AK108" i="17"/>
  <c r="AK109" i="17" s="1"/>
  <c r="AL108" i="17"/>
  <c r="AM108" i="17"/>
  <c r="AM109" i="17" s="1"/>
  <c r="AN108" i="17"/>
  <c r="G177" i="18" s="1"/>
  <c r="F177" i="18" s="1"/>
  <c r="E108" i="17"/>
  <c r="F89" i="17"/>
  <c r="G89" i="17"/>
  <c r="H89" i="17"/>
  <c r="I89" i="17"/>
  <c r="J89" i="17"/>
  <c r="K89" i="17"/>
  <c r="L89" i="17"/>
  <c r="M89" i="17"/>
  <c r="N89" i="17"/>
  <c r="O89" i="17"/>
  <c r="P89" i="17"/>
  <c r="Q89" i="17"/>
  <c r="R89" i="17"/>
  <c r="S89" i="17"/>
  <c r="T89" i="17"/>
  <c r="U89" i="17"/>
  <c r="V89" i="17"/>
  <c r="W89" i="17"/>
  <c r="X89" i="17"/>
  <c r="Y89" i="17"/>
  <c r="Z89" i="17"/>
  <c r="AA89" i="17"/>
  <c r="AB89" i="17"/>
  <c r="AC89" i="17"/>
  <c r="AD89" i="17"/>
  <c r="AE89" i="17"/>
  <c r="AF89" i="17"/>
  <c r="AG89" i="17"/>
  <c r="AH89" i="17"/>
  <c r="AI89" i="17"/>
  <c r="AJ89" i="17"/>
  <c r="AK89" i="17"/>
  <c r="AL89" i="17"/>
  <c r="AM89" i="17"/>
  <c r="AN89" i="17"/>
  <c r="E89" i="17"/>
  <c r="T79" i="17"/>
  <c r="U79" i="17"/>
  <c r="AM112" i="17"/>
  <c r="AM111" i="17"/>
  <c r="AM113" i="17" s="1"/>
  <c r="AM105" i="17"/>
  <c r="AM106" i="17" s="1"/>
  <c r="AM102" i="17"/>
  <c r="AM101" i="17"/>
  <c r="AM100" i="17"/>
  <c r="AM99" i="17"/>
  <c r="AM98" i="17"/>
  <c r="AM97" i="17"/>
  <c r="AM96" i="17"/>
  <c r="AM93" i="17"/>
  <c r="AM92" i="17"/>
  <c r="AM91" i="17"/>
  <c r="AM90" i="17"/>
  <c r="AM88" i="17"/>
  <c r="AM87" i="17"/>
  <c r="AM86" i="17"/>
  <c r="AM85" i="17"/>
  <c r="AM84" i="17"/>
  <c r="AM83" i="17"/>
  <c r="AM82" i="17"/>
  <c r="AM79" i="17"/>
  <c r="AM78" i="17"/>
  <c r="AM77" i="17"/>
  <c r="AM76" i="17"/>
  <c r="AM73" i="17"/>
  <c r="AM72" i="17"/>
  <c r="AM71" i="17"/>
  <c r="AM70" i="17"/>
  <c r="AM69" i="17"/>
  <c r="AM68" i="17"/>
  <c r="AM67" i="17"/>
  <c r="AM66" i="17"/>
  <c r="AM65" i="17"/>
  <c r="AM64" i="17"/>
  <c r="AM74" i="17" s="1"/>
  <c r="AM62" i="17"/>
  <c r="AM41" i="17"/>
  <c r="AM25" i="17"/>
  <c r="AM22" i="17"/>
  <c r="AM17" i="17"/>
  <c r="AM13" i="17"/>
  <c r="AM27" i="17" s="1"/>
  <c r="AK67" i="17"/>
  <c r="AK112" i="17"/>
  <c r="AK111" i="17"/>
  <c r="AK105" i="17"/>
  <c r="AK106" i="17" s="1"/>
  <c r="AK102" i="17"/>
  <c r="AK101" i="17"/>
  <c r="AK100" i="17"/>
  <c r="AK99" i="17"/>
  <c r="AK98" i="17"/>
  <c r="AK97" i="17"/>
  <c r="AK96" i="17"/>
  <c r="AK93" i="17"/>
  <c r="AK92" i="17"/>
  <c r="AK91" i="17"/>
  <c r="AK90" i="17"/>
  <c r="AK88" i="17"/>
  <c r="AK87" i="17"/>
  <c r="AK86" i="17"/>
  <c r="AK85" i="17"/>
  <c r="AK84" i="17"/>
  <c r="AK83" i="17"/>
  <c r="AK82" i="17"/>
  <c r="AK79" i="17"/>
  <c r="AK78" i="17"/>
  <c r="AK77" i="17"/>
  <c r="AK76" i="17"/>
  <c r="AK73" i="17"/>
  <c r="AK72" i="17"/>
  <c r="AK71" i="17"/>
  <c r="AK70" i="17"/>
  <c r="AK69" i="17"/>
  <c r="AK68" i="17"/>
  <c r="AK66" i="17"/>
  <c r="AK65" i="17"/>
  <c r="AK64" i="17"/>
  <c r="AK62" i="17"/>
  <c r="AK41" i="17"/>
  <c r="AK25" i="17"/>
  <c r="AK22" i="17"/>
  <c r="AK17" i="17"/>
  <c r="AK13" i="17"/>
  <c r="AK27" i="17" s="1"/>
  <c r="E67" i="17"/>
  <c r="F67" i="17"/>
  <c r="G67" i="17"/>
  <c r="H67" i="17"/>
  <c r="I67" i="17"/>
  <c r="J67" i="17"/>
  <c r="K67" i="17"/>
  <c r="L67" i="17"/>
  <c r="M67" i="17"/>
  <c r="N67" i="17"/>
  <c r="O67" i="17"/>
  <c r="P67" i="17"/>
  <c r="Q67" i="17"/>
  <c r="R67" i="17"/>
  <c r="S67" i="17"/>
  <c r="T67" i="17"/>
  <c r="U67" i="17"/>
  <c r="V67" i="17"/>
  <c r="W67" i="17"/>
  <c r="X67" i="17"/>
  <c r="Y67" i="17"/>
  <c r="Z67" i="17"/>
  <c r="AA67" i="17"/>
  <c r="AB67" i="17"/>
  <c r="AC67" i="17"/>
  <c r="AD67" i="17"/>
  <c r="AE67" i="17"/>
  <c r="AF67" i="17"/>
  <c r="AG67" i="17"/>
  <c r="AH67" i="17"/>
  <c r="AI67" i="17"/>
  <c r="AJ67" i="17"/>
  <c r="AL67" i="17"/>
  <c r="AN67" i="17"/>
  <c r="M60" i="17"/>
  <c r="M54" i="17"/>
  <c r="M44" i="17"/>
  <c r="M39" i="17"/>
  <c r="M36" i="17"/>
  <c r="G92" i="18" l="1"/>
  <c r="F92" i="18" s="1"/>
  <c r="D28" i="18"/>
  <c r="D51" i="18"/>
  <c r="D90" i="18"/>
  <c r="D106" i="18"/>
  <c r="D247" i="18"/>
  <c r="D86" i="18"/>
  <c r="D8" i="18"/>
  <c r="D31" i="18"/>
  <c r="D54" i="18"/>
  <c r="D93" i="18"/>
  <c r="D122" i="18"/>
  <c r="D134" i="18"/>
  <c r="D220" i="18"/>
  <c r="D226" i="18"/>
  <c r="D72" i="18"/>
  <c r="D118" i="18"/>
  <c r="D124" i="18"/>
  <c r="D161" i="18"/>
  <c r="D181" i="18"/>
  <c r="D198" i="18"/>
  <c r="D227" i="18"/>
  <c r="D191" i="18"/>
  <c r="D167" i="18"/>
  <c r="D43" i="18"/>
  <c r="D66" i="18"/>
  <c r="D81" i="18"/>
  <c r="D149" i="18"/>
  <c r="D209" i="18"/>
  <c r="D44" i="18"/>
  <c r="D15" i="18"/>
  <c r="D53" i="18"/>
  <c r="D76" i="18"/>
  <c r="D99" i="18"/>
  <c r="D126" i="18"/>
  <c r="D144" i="18"/>
  <c r="D269" i="18"/>
  <c r="D218" i="18"/>
  <c r="D9" i="18"/>
  <c r="D70" i="18"/>
  <c r="D11" i="18"/>
  <c r="D56" i="18"/>
  <c r="D64" i="18"/>
  <c r="D153" i="18"/>
  <c r="D159" i="18"/>
  <c r="D179" i="18"/>
  <c r="D202" i="18"/>
  <c r="D317" i="18"/>
  <c r="D36" i="18"/>
  <c r="D87" i="18"/>
  <c r="D102" i="18"/>
  <c r="D225" i="18"/>
  <c r="D231" i="18"/>
  <c r="D259" i="18"/>
  <c r="D264" i="18"/>
  <c r="D276" i="18"/>
  <c r="D323" i="18"/>
  <c r="D337" i="18"/>
  <c r="D241" i="18"/>
  <c r="D224" i="18"/>
  <c r="D22" i="18"/>
  <c r="D59" i="18"/>
  <c r="D73" i="18"/>
  <c r="D117" i="18"/>
  <c r="D129" i="18"/>
  <c r="D135" i="18"/>
  <c r="D166" i="18"/>
  <c r="D173" i="18"/>
  <c r="D232" i="18"/>
  <c r="D243" i="18"/>
  <c r="D301" i="18"/>
  <c r="D96" i="18"/>
  <c r="D46" i="18"/>
  <c r="D61" i="18"/>
  <c r="D82" i="18"/>
  <c r="D192" i="18"/>
  <c r="D215" i="18"/>
  <c r="D261" i="18"/>
  <c r="D284" i="18"/>
  <c r="D339" i="18"/>
  <c r="D18" i="18"/>
  <c r="D12" i="18"/>
  <c r="D34" i="18"/>
  <c r="D41" i="18"/>
  <c r="D200" i="18"/>
  <c r="D211" i="18"/>
  <c r="D229" i="18"/>
  <c r="D268" i="18"/>
  <c r="D299" i="18"/>
  <c r="D316" i="18"/>
  <c r="D95" i="18"/>
  <c r="D164" i="18"/>
  <c r="D68" i="18"/>
  <c r="D340" i="18"/>
  <c r="D27" i="18"/>
  <c r="D40" i="18"/>
  <c r="D62" i="18"/>
  <c r="D75" i="18"/>
  <c r="D103" i="18"/>
  <c r="D116" i="18"/>
  <c r="D158" i="18"/>
  <c r="D183" i="18"/>
  <c r="D216" i="18"/>
  <c r="D244" i="18"/>
  <c r="D250" i="18"/>
  <c r="D255" i="18"/>
  <c r="D282" i="18"/>
  <c r="D295" i="18"/>
  <c r="D329" i="18"/>
  <c r="D336" i="18"/>
  <c r="D19" i="18"/>
  <c r="D306" i="18"/>
  <c r="D194" i="18"/>
  <c r="D205" i="18"/>
  <c r="D312" i="18"/>
  <c r="D283" i="18"/>
  <c r="D296" i="18"/>
  <c r="D42" i="18"/>
  <c r="D50" i="18"/>
  <c r="D112" i="18"/>
  <c r="D136" i="18"/>
  <c r="D185" i="18"/>
  <c r="D201" i="18"/>
  <c r="D212" i="18"/>
  <c r="D235" i="18"/>
  <c r="D246" i="18"/>
  <c r="D262" i="18"/>
  <c r="D272" i="18"/>
  <c r="D332" i="18"/>
  <c r="D23" i="18"/>
  <c r="D30" i="18"/>
  <c r="D92" i="18"/>
  <c r="D119" i="18"/>
  <c r="D207" i="18"/>
  <c r="D273" i="18"/>
  <c r="D291" i="18"/>
  <c r="D297" i="18"/>
  <c r="D308" i="18"/>
  <c r="D344" i="18"/>
  <c r="D290" i="18"/>
  <c r="D58" i="18"/>
  <c r="D263" i="18"/>
  <c r="D132" i="18"/>
  <c r="D6" i="18"/>
  <c r="D25" i="18"/>
  <c r="D45" i="18"/>
  <c r="D94" i="18"/>
  <c r="D121" i="18"/>
  <c r="D127" i="18"/>
  <c r="D138" i="18"/>
  <c r="D168" i="18"/>
  <c r="D253" i="18"/>
  <c r="D286" i="18"/>
  <c r="D334" i="18"/>
  <c r="D204" i="18"/>
  <c r="D331" i="18"/>
  <c r="D341" i="18"/>
  <c r="D189" i="18"/>
  <c r="D221" i="18"/>
  <c r="D314" i="18"/>
  <c r="D10" i="18"/>
  <c r="D33" i="18"/>
  <c r="D123" i="18"/>
  <c r="D162" i="18"/>
  <c r="D172" i="18"/>
  <c r="D178" i="18"/>
  <c r="D184" i="18"/>
  <c r="D256" i="18"/>
  <c r="D277" i="18"/>
  <c r="D287" i="18"/>
  <c r="D324" i="18"/>
  <c r="D342" i="18"/>
  <c r="D100" i="18"/>
  <c r="D113" i="18"/>
  <c r="D145" i="18"/>
  <c r="D190" i="18"/>
  <c r="D222" i="18"/>
  <c r="D237" i="18"/>
  <c r="D163" i="18"/>
  <c r="D325" i="18"/>
  <c r="D130" i="18"/>
  <c r="D206" i="18"/>
  <c r="D278" i="18"/>
  <c r="D17" i="18"/>
  <c r="D29" i="18"/>
  <c r="D83" i="18"/>
  <c r="D108" i="18"/>
  <c r="D114" i="18"/>
  <c r="D140" i="18"/>
  <c r="D147" i="18"/>
  <c r="D174" i="18"/>
  <c r="D186" i="18"/>
  <c r="D196" i="18"/>
  <c r="D217" i="18"/>
  <c r="D223" i="18"/>
  <c r="D233" i="18"/>
  <c r="D238" i="18"/>
  <c r="D248" i="18"/>
  <c r="D311" i="18"/>
  <c r="D326" i="18"/>
  <c r="D131" i="18"/>
  <c r="D279" i="18"/>
  <c r="D327" i="18"/>
  <c r="D7" i="18"/>
  <c r="D48" i="18"/>
  <c r="D78" i="18"/>
  <c r="D84" i="18"/>
  <c r="D109" i="18"/>
  <c r="D115" i="18"/>
  <c r="D120" i="18"/>
  <c r="D141" i="18"/>
  <c r="D148" i="18"/>
  <c r="D175" i="18"/>
  <c r="D187" i="18"/>
  <c r="D197" i="18"/>
  <c r="D219" i="18"/>
  <c r="D234" i="18"/>
  <c r="D239" i="18"/>
  <c r="D249" i="18"/>
  <c r="D328" i="18"/>
  <c r="D13" i="18"/>
  <c r="D49" i="18"/>
  <c r="D67" i="18"/>
  <c r="D79" i="18"/>
  <c r="D85" i="18"/>
  <c r="D97" i="18"/>
  <c r="D110" i="18"/>
  <c r="D142" i="18"/>
  <c r="D170" i="18"/>
  <c r="D176" i="18"/>
  <c r="D182" i="18"/>
  <c r="D203" i="18"/>
  <c r="D213" i="18"/>
  <c r="D254" i="18"/>
  <c r="D280" i="18"/>
  <c r="D285" i="18"/>
  <c r="D307" i="18"/>
  <c r="D322" i="18"/>
  <c r="D335" i="18"/>
  <c r="D345" i="18"/>
  <c r="D14" i="18"/>
  <c r="D20" i="18"/>
  <c r="D55" i="18"/>
  <c r="D80" i="18"/>
  <c r="D91" i="18"/>
  <c r="D98" i="18"/>
  <c r="D105" i="18"/>
  <c r="D111" i="18"/>
  <c r="D137" i="18"/>
  <c r="D143" i="18"/>
  <c r="D154" i="18"/>
  <c r="D177" i="18"/>
  <c r="D188" i="18"/>
  <c r="D214" i="18"/>
  <c r="D230" i="18"/>
  <c r="D245" i="18"/>
  <c r="D260" i="18"/>
  <c r="D265" i="18"/>
  <c r="D293" i="18"/>
  <c r="D298" i="18"/>
  <c r="D313" i="18"/>
  <c r="D346" i="18"/>
  <c r="AP89" i="17"/>
  <c r="AM80" i="17"/>
  <c r="AM103" i="17"/>
  <c r="AM94" i="17"/>
  <c r="AM115" i="17" s="1"/>
  <c r="AM117" i="17" s="1"/>
  <c r="AK94" i="17"/>
  <c r="AK113" i="17"/>
  <c r="AK103" i="17"/>
  <c r="AK74" i="17"/>
  <c r="AK80" i="17"/>
  <c r="AK115" i="17" l="1"/>
  <c r="AK117" i="17" s="1"/>
  <c r="G33" i="16" l="1"/>
  <c r="E19" i="19"/>
  <c r="W13" i="4" l="1"/>
  <c r="H13" i="4"/>
  <c r="W248" i="4" l="1"/>
  <c r="H248" i="4"/>
  <c r="W114" i="4"/>
  <c r="H114" i="4"/>
  <c r="K255" i="4"/>
  <c r="K254" i="4"/>
  <c r="V255" i="4"/>
  <c r="U255" i="4"/>
  <c r="U261" i="4" s="1"/>
  <c r="T255" i="4"/>
  <c r="S255" i="4"/>
  <c r="R255" i="4"/>
  <c r="Q255" i="4"/>
  <c r="P255" i="4"/>
  <c r="O255" i="4"/>
  <c r="N255" i="4"/>
  <c r="M255" i="4"/>
  <c r="L255" i="4"/>
  <c r="V254" i="4"/>
  <c r="U254" i="4"/>
  <c r="T254" i="4"/>
  <c r="S254" i="4"/>
  <c r="R254" i="4"/>
  <c r="R261" i="4" s="1"/>
  <c r="Q254" i="4"/>
  <c r="Q261" i="4" s="1"/>
  <c r="P254" i="4"/>
  <c r="P261" i="4" s="1"/>
  <c r="O254" i="4"/>
  <c r="O261" i="4" s="1"/>
  <c r="N254" i="4"/>
  <c r="N261" i="4" s="1"/>
  <c r="M254" i="4"/>
  <c r="M261" i="4" s="1"/>
  <c r="L254" i="4"/>
  <c r="W397" i="4"/>
  <c r="H397" i="4"/>
  <c r="W398" i="4"/>
  <c r="H398" i="4"/>
  <c r="W317" i="4"/>
  <c r="H317" i="4"/>
  <c r="W315" i="4"/>
  <c r="H315" i="4"/>
  <c r="S261" i="4" l="1"/>
  <c r="T261" i="4"/>
  <c r="V261" i="4"/>
  <c r="K261" i="4"/>
  <c r="L261" i="4"/>
  <c r="W351" i="4"/>
  <c r="H351" i="4"/>
  <c r="W316" i="4"/>
  <c r="H316" i="4"/>
  <c r="W314" i="4"/>
  <c r="H314" i="4"/>
  <c r="W313" i="4"/>
  <c r="H313" i="4"/>
  <c r="W312" i="4"/>
  <c r="H312" i="4"/>
  <c r="W311" i="4"/>
  <c r="H311" i="4"/>
  <c r="W310" i="4"/>
  <c r="H310" i="4"/>
  <c r="W309" i="4"/>
  <c r="H309" i="4"/>
  <c r="W308" i="4"/>
  <c r="H308" i="4"/>
  <c r="W318" i="4" l="1"/>
  <c r="H318" i="4"/>
  <c r="H279" i="4" l="1"/>
  <c r="W279" i="4"/>
  <c r="W257" i="4"/>
  <c r="H257" i="4"/>
  <c r="V238" i="4"/>
  <c r="U238" i="4"/>
  <c r="T238" i="4"/>
  <c r="S238" i="4"/>
  <c r="R238" i="4"/>
  <c r="Q238" i="4"/>
  <c r="P238" i="4"/>
  <c r="O238" i="4"/>
  <c r="N238" i="4"/>
  <c r="M238" i="4"/>
  <c r="L238" i="4"/>
  <c r="K238" i="4"/>
  <c r="V237" i="4"/>
  <c r="U237" i="4"/>
  <c r="T237" i="4"/>
  <c r="S237" i="4"/>
  <c r="R237" i="4"/>
  <c r="Q237" i="4"/>
  <c r="P237" i="4"/>
  <c r="O237" i="4"/>
  <c r="N237" i="4"/>
  <c r="M237" i="4"/>
  <c r="L237" i="4"/>
  <c r="K237" i="4"/>
  <c r="V236" i="4"/>
  <c r="U236" i="4"/>
  <c r="T236" i="4"/>
  <c r="S236" i="4"/>
  <c r="R236" i="4"/>
  <c r="Q236" i="4"/>
  <c r="P236" i="4"/>
  <c r="O236" i="4"/>
  <c r="N236" i="4"/>
  <c r="M236" i="4"/>
  <c r="L236" i="4"/>
  <c r="K236" i="4"/>
  <c r="V235" i="4"/>
  <c r="U235" i="4"/>
  <c r="T235" i="4"/>
  <c r="S235" i="4"/>
  <c r="R235" i="4"/>
  <c r="Q235" i="4"/>
  <c r="P235" i="4"/>
  <c r="O235" i="4"/>
  <c r="N235" i="4"/>
  <c r="M235" i="4"/>
  <c r="L235" i="4"/>
  <c r="K235" i="4"/>
  <c r="V234" i="4"/>
  <c r="U234" i="4"/>
  <c r="T234" i="4"/>
  <c r="S234" i="4"/>
  <c r="R234" i="4"/>
  <c r="Q234" i="4"/>
  <c r="P234" i="4"/>
  <c r="O234" i="4"/>
  <c r="N234" i="4"/>
  <c r="M234" i="4"/>
  <c r="L234" i="4"/>
  <c r="K234" i="4"/>
  <c r="V233" i="4"/>
  <c r="U233" i="4"/>
  <c r="T233" i="4"/>
  <c r="S233" i="4"/>
  <c r="R233" i="4"/>
  <c r="Q233" i="4"/>
  <c r="P233" i="4"/>
  <c r="O233" i="4"/>
  <c r="N233" i="4"/>
  <c r="M233" i="4"/>
  <c r="L233" i="4"/>
  <c r="K233" i="4"/>
  <c r="V232" i="4"/>
  <c r="U232" i="4"/>
  <c r="T232" i="4"/>
  <c r="S232" i="4"/>
  <c r="R232" i="4"/>
  <c r="Q232" i="4"/>
  <c r="P232" i="4"/>
  <c r="O232" i="4"/>
  <c r="N232" i="4"/>
  <c r="M232" i="4"/>
  <c r="L232" i="4"/>
  <c r="K232" i="4"/>
  <c r="V231" i="4"/>
  <c r="U231" i="4"/>
  <c r="T231" i="4"/>
  <c r="S231" i="4"/>
  <c r="R231" i="4"/>
  <c r="Q231" i="4"/>
  <c r="P231" i="4"/>
  <c r="O231" i="4"/>
  <c r="N231" i="4"/>
  <c r="M231" i="4"/>
  <c r="L231" i="4"/>
  <c r="K231" i="4"/>
  <c r="V229" i="4"/>
  <c r="U229" i="4"/>
  <c r="T229" i="4"/>
  <c r="S229" i="4"/>
  <c r="R229" i="4"/>
  <c r="Q229" i="4"/>
  <c r="P229" i="4"/>
  <c r="O229" i="4"/>
  <c r="N229" i="4"/>
  <c r="M229" i="4"/>
  <c r="L229" i="4"/>
  <c r="K229" i="4"/>
  <c r="V228" i="4"/>
  <c r="U228" i="4"/>
  <c r="T228" i="4"/>
  <c r="S228" i="4"/>
  <c r="R228" i="4"/>
  <c r="Q228" i="4"/>
  <c r="P228" i="4"/>
  <c r="O228" i="4"/>
  <c r="N228" i="4"/>
  <c r="M228" i="4"/>
  <c r="L228" i="4"/>
  <c r="K228" i="4"/>
  <c r="V227" i="4"/>
  <c r="U227" i="4"/>
  <c r="T227" i="4"/>
  <c r="S227" i="4"/>
  <c r="R227" i="4"/>
  <c r="Q227" i="4"/>
  <c r="P227" i="4"/>
  <c r="O227" i="4"/>
  <c r="N227" i="4"/>
  <c r="M227" i="4"/>
  <c r="L227" i="4"/>
  <c r="K227" i="4"/>
  <c r="V226" i="4"/>
  <c r="U226" i="4"/>
  <c r="T226" i="4"/>
  <c r="S226" i="4"/>
  <c r="R226" i="4"/>
  <c r="Q226" i="4"/>
  <c r="P226" i="4"/>
  <c r="O226" i="4"/>
  <c r="N226" i="4"/>
  <c r="M226" i="4"/>
  <c r="L226" i="4"/>
  <c r="K226" i="4"/>
  <c r="V225" i="4"/>
  <c r="U225" i="4"/>
  <c r="T225" i="4"/>
  <c r="S225" i="4"/>
  <c r="R225" i="4"/>
  <c r="Q225" i="4"/>
  <c r="P225" i="4"/>
  <c r="O225" i="4"/>
  <c r="N225" i="4"/>
  <c r="M225" i="4"/>
  <c r="L225" i="4"/>
  <c r="K225" i="4"/>
  <c r="V224" i="4"/>
  <c r="U224" i="4"/>
  <c r="T224" i="4"/>
  <c r="S224" i="4"/>
  <c r="R224" i="4"/>
  <c r="Q224" i="4"/>
  <c r="P224" i="4"/>
  <c r="O224" i="4"/>
  <c r="N224" i="4"/>
  <c r="M224" i="4"/>
  <c r="L224" i="4"/>
  <c r="K224" i="4"/>
  <c r="V223" i="4"/>
  <c r="U223" i="4"/>
  <c r="T223" i="4"/>
  <c r="S223" i="4"/>
  <c r="R223" i="4"/>
  <c r="Q223" i="4"/>
  <c r="P223" i="4"/>
  <c r="O223" i="4"/>
  <c r="N223" i="4"/>
  <c r="M223" i="4"/>
  <c r="L223" i="4"/>
  <c r="K223" i="4"/>
  <c r="V230" i="4"/>
  <c r="U230" i="4"/>
  <c r="T230" i="4"/>
  <c r="S230" i="4"/>
  <c r="R230" i="4"/>
  <c r="Q230" i="4"/>
  <c r="P230" i="4"/>
  <c r="O230" i="4"/>
  <c r="N230" i="4"/>
  <c r="M230" i="4"/>
  <c r="L230" i="4"/>
  <c r="K230" i="4"/>
  <c r="V222" i="4"/>
  <c r="U222" i="4"/>
  <c r="T222" i="4"/>
  <c r="S222" i="4"/>
  <c r="R222" i="4"/>
  <c r="Q222" i="4"/>
  <c r="P222" i="4"/>
  <c r="O222" i="4"/>
  <c r="N222" i="4"/>
  <c r="M222" i="4"/>
  <c r="L222" i="4"/>
  <c r="K222" i="4"/>
  <c r="V216" i="4"/>
  <c r="U216" i="4"/>
  <c r="T216" i="4"/>
  <c r="S216" i="4"/>
  <c r="R216" i="4"/>
  <c r="Q216" i="4"/>
  <c r="P216" i="4"/>
  <c r="O216" i="4"/>
  <c r="N216" i="4"/>
  <c r="M216" i="4"/>
  <c r="L216" i="4"/>
  <c r="K216" i="4"/>
  <c r="V209" i="4"/>
  <c r="U209" i="4"/>
  <c r="T209" i="4"/>
  <c r="S209" i="4"/>
  <c r="R209" i="4"/>
  <c r="Q209" i="4"/>
  <c r="P209" i="4"/>
  <c r="O209" i="4"/>
  <c r="N209" i="4"/>
  <c r="M209" i="4"/>
  <c r="L209" i="4"/>
  <c r="K209" i="4"/>
  <c r="R208" i="4"/>
  <c r="V203" i="4"/>
  <c r="U203" i="4"/>
  <c r="T203" i="4"/>
  <c r="S203" i="4"/>
  <c r="R203" i="4"/>
  <c r="Q203" i="4"/>
  <c r="P203" i="4"/>
  <c r="O203" i="4"/>
  <c r="N203" i="4"/>
  <c r="M203" i="4"/>
  <c r="L203" i="4"/>
  <c r="K203" i="4"/>
  <c r="H203" i="4"/>
  <c r="V197" i="4"/>
  <c r="U197" i="4"/>
  <c r="T197" i="4"/>
  <c r="S197" i="4"/>
  <c r="R197" i="4"/>
  <c r="Q197" i="4"/>
  <c r="P197" i="4"/>
  <c r="O197" i="4"/>
  <c r="N197" i="4"/>
  <c r="M197" i="4"/>
  <c r="L197" i="4"/>
  <c r="K197" i="4"/>
  <c r="H197" i="4"/>
  <c r="L191" i="4"/>
  <c r="M191" i="4"/>
  <c r="N191" i="4"/>
  <c r="O191" i="4"/>
  <c r="P191" i="4"/>
  <c r="Q191" i="4"/>
  <c r="R191" i="4"/>
  <c r="S191" i="4"/>
  <c r="T191" i="4"/>
  <c r="U191" i="4"/>
  <c r="V191" i="4"/>
  <c r="K191" i="4"/>
  <c r="G202" i="4"/>
  <c r="G196" i="4"/>
  <c r="G190" i="4"/>
  <c r="H169" i="4"/>
  <c r="H172" i="4"/>
  <c r="H173" i="4"/>
  <c r="H174" i="4"/>
  <c r="H175" i="4"/>
  <c r="H176" i="4"/>
  <c r="H177" i="4"/>
  <c r="L170" i="4"/>
  <c r="H170" i="4" s="1"/>
  <c r="L171" i="4"/>
  <c r="W171" i="4" s="1"/>
  <c r="K168" i="4"/>
  <c r="L168" i="4"/>
  <c r="M168" i="4"/>
  <c r="N168" i="4"/>
  <c r="O168" i="4"/>
  <c r="P168" i="4"/>
  <c r="Q168" i="4"/>
  <c r="R168" i="4"/>
  <c r="S168" i="4"/>
  <c r="T168" i="4"/>
  <c r="U168" i="4"/>
  <c r="V168" i="4"/>
  <c r="L167" i="4"/>
  <c r="M167" i="4"/>
  <c r="N167" i="4"/>
  <c r="O167" i="4"/>
  <c r="P167" i="4"/>
  <c r="Q167" i="4"/>
  <c r="R167" i="4"/>
  <c r="S167" i="4"/>
  <c r="T167" i="4"/>
  <c r="U167" i="4"/>
  <c r="V167" i="4"/>
  <c r="K167" i="4"/>
  <c r="K241" i="4" l="1"/>
  <c r="H228" i="4"/>
  <c r="H209" i="4"/>
  <c r="W238" i="4"/>
  <c r="H235" i="4"/>
  <c r="H167" i="4"/>
  <c r="H171" i="4"/>
  <c r="H216" i="4"/>
  <c r="H227" i="4"/>
  <c r="H232" i="4"/>
  <c r="H168" i="4"/>
  <c r="W229" i="4"/>
  <c r="H230" i="4"/>
  <c r="H234" i="4"/>
  <c r="H238" i="4"/>
  <c r="H237" i="4"/>
  <c r="H229" i="4"/>
  <c r="W235" i="4"/>
  <c r="W233" i="4"/>
  <c r="H223" i="4"/>
  <c r="W237" i="4"/>
  <c r="W234" i="4"/>
  <c r="H233" i="4"/>
  <c r="H236" i="4"/>
  <c r="H231" i="4"/>
  <c r="H226" i="4"/>
  <c r="H225" i="4"/>
  <c r="H224" i="4"/>
  <c r="W236" i="4"/>
  <c r="W232" i="4"/>
  <c r="W231" i="4"/>
  <c r="H222" i="4"/>
  <c r="K208" i="4"/>
  <c r="S208" i="4"/>
  <c r="L208" i="4"/>
  <c r="U208" i="4"/>
  <c r="M208" i="4"/>
  <c r="N208" i="4"/>
  <c r="O208" i="4"/>
  <c r="T208" i="4"/>
  <c r="V208" i="4"/>
  <c r="P208" i="4"/>
  <c r="Q208" i="4"/>
  <c r="W203" i="4"/>
  <c r="R134" i="4"/>
  <c r="R133" i="4"/>
  <c r="R132" i="4"/>
  <c r="T136" i="4"/>
  <c r="T137" i="4"/>
  <c r="T135" i="4"/>
  <c r="O130" i="4"/>
  <c r="O131" i="4"/>
  <c r="O129" i="4"/>
  <c r="N130" i="4"/>
  <c r="N131" i="4"/>
  <c r="N129" i="4"/>
  <c r="N128" i="4"/>
  <c r="P43" i="4"/>
  <c r="P42" i="4"/>
  <c r="P60" i="4"/>
  <c r="W60" i="4" s="1"/>
  <c r="H44" i="4"/>
  <c r="H43" i="4"/>
  <c r="H38" i="4"/>
  <c r="M38" i="4" s="1"/>
  <c r="W38" i="4" s="1"/>
  <c r="H37" i="4"/>
  <c r="M37" i="4" s="1"/>
  <c r="W37" i="4" s="1"/>
  <c r="H58" i="4"/>
  <c r="M58" i="4" s="1"/>
  <c r="W58" i="4" s="1"/>
  <c r="H406" i="4"/>
  <c r="K112" i="3"/>
  <c r="J112" i="3"/>
  <c r="H112" i="3"/>
  <c r="F60" i="2" l="1"/>
  <c r="H208" i="4"/>
  <c r="W43" i="4"/>
  <c r="H60" i="4"/>
  <c r="O21" i="1" l="1"/>
  <c r="J21" i="1"/>
  <c r="W406" i="4"/>
  <c r="K80" i="3" l="1"/>
  <c r="J80" i="3"/>
  <c r="H80" i="3"/>
  <c r="J52" i="3"/>
  <c r="K52" i="3"/>
  <c r="J51" i="3"/>
  <c r="K51" i="3"/>
  <c r="J10" i="3"/>
  <c r="Y10" i="3" s="1"/>
  <c r="J11" i="3"/>
  <c r="K11" i="3" s="1"/>
  <c r="J57" i="3"/>
  <c r="K57" i="3"/>
  <c r="J45" i="3"/>
  <c r="K45" i="3" s="1"/>
  <c r="H45" i="3"/>
  <c r="J46" i="3"/>
  <c r="Y46" i="3" s="1"/>
  <c r="AA46" i="3" s="1"/>
  <c r="AC46" i="3" s="1"/>
  <c r="AE46" i="3" s="1"/>
  <c r="H46" i="3"/>
  <c r="X28" i="3"/>
  <c r="Z28" i="3" s="1"/>
  <c r="AB28" i="3" s="1"/>
  <c r="AD28" i="3" s="1"/>
  <c r="X29" i="3"/>
  <c r="Z29" i="3" s="1"/>
  <c r="AB29" i="3" s="1"/>
  <c r="AD29" i="3" s="1"/>
  <c r="X30" i="3"/>
  <c r="Z30" i="3" s="1"/>
  <c r="AB30" i="3" s="1"/>
  <c r="AD30" i="3" s="1"/>
  <c r="X31" i="3"/>
  <c r="Z31" i="3" s="1"/>
  <c r="AB31" i="3" s="1"/>
  <c r="AD31" i="3" s="1"/>
  <c r="X32" i="3"/>
  <c r="Z32" i="3" s="1"/>
  <c r="AB32" i="3" s="1"/>
  <c r="AD32" i="3" s="1"/>
  <c r="X33" i="3"/>
  <c r="Z33" i="3" s="1"/>
  <c r="AB33" i="3" s="1"/>
  <c r="AD33" i="3" s="1"/>
  <c r="X34" i="3"/>
  <c r="Z34" i="3" s="1"/>
  <c r="AB34" i="3" s="1"/>
  <c r="AD34" i="3" s="1"/>
  <c r="X35" i="3"/>
  <c r="Z35" i="3" s="1"/>
  <c r="AB35" i="3" s="1"/>
  <c r="AD35" i="3" s="1"/>
  <c r="X17" i="3"/>
  <c r="Z17" i="3" s="1"/>
  <c r="AB17" i="3" s="1"/>
  <c r="AD17" i="3" s="1"/>
  <c r="X18" i="3"/>
  <c r="Z18" i="3" s="1"/>
  <c r="AB18" i="3" s="1"/>
  <c r="AD18" i="3" s="1"/>
  <c r="X19" i="3"/>
  <c r="Z19" i="3" s="1"/>
  <c r="AB19" i="3" s="1"/>
  <c r="AD19" i="3" s="1"/>
  <c r="K10" i="3" l="1"/>
  <c r="Y45" i="3"/>
  <c r="AA45" i="3" s="1"/>
  <c r="AC45" i="3" s="1"/>
  <c r="AE45" i="3" s="1"/>
  <c r="K46" i="3"/>
  <c r="H29" i="3" l="1"/>
  <c r="G38" i="16"/>
  <c r="AD54" i="2" l="1"/>
  <c r="AE54" i="2"/>
  <c r="AF54" i="2"/>
  <c r="AG54" i="2"/>
  <c r="AH54" i="2"/>
  <c r="AI54" i="2"/>
  <c r="AD48" i="2" l="1"/>
  <c r="AE48" i="2"/>
  <c r="AF48" i="2"/>
  <c r="AG48" i="2"/>
  <c r="AH48" i="2"/>
  <c r="AI48" i="2"/>
  <c r="P15" i="1" l="1"/>
  <c r="N15" i="1"/>
  <c r="N17" i="1" s="1"/>
  <c r="L15" i="1"/>
  <c r="L17" i="1" s="1"/>
  <c r="H15" i="1"/>
  <c r="H17" i="1" s="1"/>
  <c r="F16" i="1"/>
  <c r="F17" i="1" s="1"/>
  <c r="E17" i="1"/>
  <c r="G17" i="1"/>
  <c r="J17" i="1"/>
  <c r="E22" i="1"/>
  <c r="F22" i="1"/>
  <c r="G22" i="1"/>
  <c r="H22" i="1"/>
  <c r="I22" i="1"/>
  <c r="L22" i="1"/>
  <c r="M22" i="1"/>
  <c r="N22" i="1"/>
  <c r="E25" i="1"/>
  <c r="F25" i="1"/>
  <c r="G25" i="1"/>
  <c r="I25" i="1"/>
  <c r="J25" i="1"/>
  <c r="L25" i="1"/>
  <c r="M25" i="1"/>
  <c r="O25" i="1"/>
  <c r="H113" i="3"/>
  <c r="H111" i="3"/>
  <c r="H110" i="3"/>
  <c r="H109" i="3"/>
  <c r="H108" i="3"/>
  <c r="H107" i="3"/>
  <c r="H106" i="3"/>
  <c r="H105" i="3"/>
  <c r="H104" i="3"/>
  <c r="H94" i="3"/>
  <c r="H95" i="3"/>
  <c r="H97" i="3"/>
  <c r="H99" i="3"/>
  <c r="H93" i="3"/>
  <c r="H92" i="3"/>
  <c r="H87" i="3"/>
  <c r="H86" i="3"/>
  <c r="H73" i="3"/>
  <c r="H74" i="3"/>
  <c r="H75" i="3"/>
  <c r="H76" i="3"/>
  <c r="H77" i="3"/>
  <c r="H78" i="3"/>
  <c r="H79" i="3"/>
  <c r="H81" i="3"/>
  <c r="H72" i="3"/>
  <c r="H71" i="3"/>
  <c r="H70" i="3"/>
  <c r="H62" i="3"/>
  <c r="H59" i="3"/>
  <c r="H60" i="3"/>
  <c r="H61" i="3"/>
  <c r="H63" i="3"/>
  <c r="H64" i="3"/>
  <c r="H58" i="3"/>
  <c r="H57" i="3"/>
  <c r="H44" i="3"/>
  <c r="H37" i="3"/>
  <c r="H36" i="3"/>
  <c r="H35" i="3"/>
  <c r="H34" i="3"/>
  <c r="H33" i="3"/>
  <c r="H32" i="3"/>
  <c r="H31" i="3"/>
  <c r="H30" i="3"/>
  <c r="H28" i="3"/>
  <c r="H27" i="3"/>
  <c r="H22" i="3"/>
  <c r="H21" i="3"/>
  <c r="H20" i="3"/>
  <c r="H19" i="3"/>
  <c r="H18" i="3"/>
  <c r="H17" i="3"/>
  <c r="H16" i="3"/>
  <c r="H11" i="3"/>
  <c r="H10" i="3"/>
  <c r="A2" i="16" l="1"/>
  <c r="F38" i="16"/>
  <c r="E38" i="16"/>
  <c r="E41" i="16"/>
  <c r="A2" i="17"/>
  <c r="A2" i="11"/>
  <c r="Z103" i="3" l="1"/>
  <c r="AB103" i="3" s="1"/>
  <c r="AD103" i="3" s="1"/>
  <c r="Z91" i="3"/>
  <c r="AB91" i="3" s="1"/>
  <c r="AD91" i="3" s="1"/>
  <c r="Z85" i="3"/>
  <c r="AB85" i="3" s="1"/>
  <c r="AD85" i="3" s="1"/>
  <c r="Z69" i="3"/>
  <c r="AB69" i="3" s="1"/>
  <c r="AD69" i="3" s="1"/>
  <c r="Z56" i="3"/>
  <c r="AB56" i="3" s="1"/>
  <c r="AD56" i="3" s="1"/>
  <c r="Z50" i="3"/>
  <c r="AB50" i="3" s="1"/>
  <c r="AD50" i="3" s="1"/>
  <c r="Z43" i="3"/>
  <c r="AB43" i="3" s="1"/>
  <c r="AD43" i="3" s="1"/>
  <c r="X26" i="3"/>
  <c r="Z26" i="3" s="1"/>
  <c r="AB26" i="3" s="1"/>
  <c r="AD26" i="3" s="1"/>
  <c r="X15" i="3"/>
  <c r="Z15" i="3" s="1"/>
  <c r="AB15" i="3" s="1"/>
  <c r="AD15" i="3" s="1"/>
  <c r="AD6" i="3"/>
  <c r="AE26" i="3" s="1"/>
  <c r="AB6" i="3"/>
  <c r="AC91" i="3" s="1"/>
  <c r="Z6" i="3"/>
  <c r="AA43" i="3" s="1"/>
  <c r="X6" i="3"/>
  <c r="Y103" i="3" s="1"/>
  <c r="K6" i="3"/>
  <c r="K26" i="3" s="1"/>
  <c r="J6" i="3"/>
  <c r="J43" i="3" s="1"/>
  <c r="E4" i="10"/>
  <c r="E4" i="9"/>
  <c r="E4" i="8"/>
  <c r="A3" i="8"/>
  <c r="E4" i="7"/>
  <c r="F4" i="1"/>
  <c r="M4" i="6"/>
  <c r="K4" i="6"/>
  <c r="I4" i="6"/>
  <c r="G4" i="6"/>
  <c r="E4" i="6"/>
  <c r="AC103" i="3" l="1"/>
  <c r="AC26" i="3"/>
  <c r="AC43" i="3"/>
  <c r="AE103" i="3"/>
  <c r="AE43" i="3"/>
  <c r="Y9" i="3"/>
  <c r="AC50" i="3"/>
  <c r="AC9" i="3"/>
  <c r="Y15" i="3"/>
  <c r="J15" i="3"/>
  <c r="AC15" i="3"/>
  <c r="AE69" i="3"/>
  <c r="J91" i="3"/>
  <c r="Y50" i="3"/>
  <c r="AE9" i="3"/>
  <c r="AC69" i="3"/>
  <c r="J26" i="3"/>
  <c r="Y85" i="3"/>
  <c r="K43" i="3"/>
  <c r="Y26" i="3"/>
  <c r="J50" i="3"/>
  <c r="AC85" i="3"/>
  <c r="J56" i="3"/>
  <c r="J69" i="3"/>
  <c r="Y43" i="3"/>
  <c r="K56" i="3"/>
  <c r="AA15" i="3"/>
  <c r="AA50" i="3"/>
  <c r="AA85" i="3"/>
  <c r="K50" i="3"/>
  <c r="K69" i="3"/>
  <c r="AE15" i="3"/>
  <c r="AE50" i="3"/>
  <c r="AE85" i="3"/>
  <c r="J85" i="3"/>
  <c r="Y56" i="3"/>
  <c r="Y91" i="3"/>
  <c r="J9" i="3"/>
  <c r="J103" i="3"/>
  <c r="AA56" i="3"/>
  <c r="AA91" i="3"/>
  <c r="K9" i="3"/>
  <c r="AA26" i="3"/>
  <c r="AC56" i="3"/>
  <c r="AE56" i="3"/>
  <c r="AE91" i="3"/>
  <c r="G7" i="16"/>
  <c r="G37" i="16" s="1"/>
  <c r="F7" i="16"/>
  <c r="F37" i="16" s="1"/>
  <c r="E37" i="16"/>
  <c r="K15" i="3"/>
  <c r="Y69" i="3"/>
  <c r="AA69" i="3"/>
  <c r="AA103" i="3"/>
  <c r="AA9" i="3"/>
  <c r="A2" i="10"/>
  <c r="A2" i="9"/>
  <c r="A2" i="8"/>
  <c r="A2" i="7"/>
  <c r="A2" i="1"/>
  <c r="L115" i="3" l="1"/>
  <c r="E40" i="1" s="1"/>
  <c r="L101" i="3"/>
  <c r="E39" i="1" s="1"/>
  <c r="L89" i="3"/>
  <c r="E38" i="1" s="1"/>
  <c r="L83" i="3"/>
  <c r="E37" i="1" s="1"/>
  <c r="L67" i="3"/>
  <c r="E36" i="1" s="1"/>
  <c r="L54" i="3"/>
  <c r="E35" i="1" s="1"/>
  <c r="W246" i="4" l="1"/>
  <c r="H246" i="4"/>
  <c r="W245" i="4"/>
  <c r="H245" i="4"/>
  <c r="H137" i="4"/>
  <c r="W137" i="4" s="1"/>
  <c r="H136" i="4"/>
  <c r="W136" i="4" s="1"/>
  <c r="H135" i="4"/>
  <c r="W135" i="4" s="1"/>
  <c r="U116" i="23" l="1"/>
  <c r="U114" i="23"/>
  <c r="U110" i="23"/>
  <c r="U107" i="23"/>
  <c r="U104" i="23"/>
  <c r="U95" i="23"/>
  <c r="U81" i="23"/>
  <c r="U75" i="23"/>
  <c r="U63" i="23"/>
  <c r="U42" i="23"/>
  <c r="U30" i="23"/>
  <c r="U29" i="23"/>
  <c r="U28" i="23"/>
  <c r="U26" i="23"/>
  <c r="U23" i="23"/>
  <c r="U18" i="23"/>
  <c r="U14" i="23"/>
  <c r="U116" i="1"/>
  <c r="U114" i="1"/>
  <c r="U110" i="1"/>
  <c r="U107" i="1"/>
  <c r="U104" i="1"/>
  <c r="U95" i="1"/>
  <c r="U81" i="1"/>
  <c r="U75" i="1"/>
  <c r="U63" i="1"/>
  <c r="U42" i="1"/>
  <c r="U30" i="1"/>
  <c r="U29" i="1"/>
  <c r="U28" i="1"/>
  <c r="U26" i="1"/>
  <c r="U23" i="1"/>
  <c r="U21" i="1"/>
  <c r="U18" i="1"/>
  <c r="U15" i="1"/>
  <c r="U14" i="1"/>
  <c r="Q29" i="2" l="1"/>
  <c r="Q23" i="2" s="1"/>
  <c r="R29" i="2"/>
  <c r="R23" i="2" s="1"/>
  <c r="S29" i="2"/>
  <c r="S23" i="2" s="1"/>
  <c r="T29" i="2"/>
  <c r="T23" i="2" s="1"/>
  <c r="U29" i="2"/>
  <c r="U23" i="2" s="1"/>
  <c r="V29" i="2"/>
  <c r="V23" i="2" s="1"/>
  <c r="W29" i="2"/>
  <c r="X29" i="2"/>
  <c r="X23" i="2" s="1"/>
  <c r="Y29" i="2"/>
  <c r="Y23" i="2" s="1"/>
  <c r="Z29" i="2"/>
  <c r="Z23" i="2" s="1"/>
  <c r="AA29" i="2"/>
  <c r="AA23" i="2" s="1"/>
  <c r="AB29" i="2"/>
  <c r="AB23" i="2" s="1"/>
  <c r="R28" i="2"/>
  <c r="R22" i="2" s="1"/>
  <c r="S28" i="2"/>
  <c r="S22" i="2" s="1"/>
  <c r="T28" i="2"/>
  <c r="T22" i="2" s="1"/>
  <c r="U28" i="2"/>
  <c r="U22" i="2" s="1"/>
  <c r="V28" i="2"/>
  <c r="V22" i="2" s="1"/>
  <c r="W28" i="2"/>
  <c r="X28" i="2"/>
  <c r="X22" i="2" s="1"/>
  <c r="Y28" i="2"/>
  <c r="Y22" i="2" s="1"/>
  <c r="Z28" i="2"/>
  <c r="Z22" i="2" s="1"/>
  <c r="AA28" i="2"/>
  <c r="AA22" i="2" s="1"/>
  <c r="AB28" i="2"/>
  <c r="AB22" i="2" s="1"/>
  <c r="Q28" i="2"/>
  <c r="Q22" i="2" s="1"/>
  <c r="F22" i="2" l="1"/>
  <c r="W22" i="2"/>
  <c r="F23" i="2"/>
  <c r="W23" i="2"/>
  <c r="AB42" i="2"/>
  <c r="AA42" i="2"/>
  <c r="Z42" i="2"/>
  <c r="Y42" i="2"/>
  <c r="X42" i="2"/>
  <c r="W42" i="2"/>
  <c r="V42" i="2"/>
  <c r="U42" i="2"/>
  <c r="T42" i="2"/>
  <c r="S42" i="2"/>
  <c r="R42" i="2"/>
  <c r="Q42" i="2"/>
  <c r="AB36" i="2"/>
  <c r="AA36" i="2"/>
  <c r="Z36" i="2"/>
  <c r="Y36" i="2"/>
  <c r="X36" i="2"/>
  <c r="W36" i="2"/>
  <c r="V36" i="2"/>
  <c r="U36" i="2"/>
  <c r="T36" i="2"/>
  <c r="S36" i="2"/>
  <c r="R36" i="2"/>
  <c r="Q36" i="2"/>
  <c r="AB30" i="2"/>
  <c r="AA30" i="2"/>
  <c r="Z30" i="2"/>
  <c r="Y30" i="2"/>
  <c r="X30" i="2"/>
  <c r="W30" i="2"/>
  <c r="V30" i="2"/>
  <c r="U30" i="2"/>
  <c r="T30" i="2"/>
  <c r="S30" i="2"/>
  <c r="R30" i="2"/>
  <c r="Q30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O54" i="2"/>
  <c r="AN54" i="2"/>
  <c r="AM54" i="2"/>
  <c r="AL54" i="2"/>
  <c r="AK54" i="2"/>
  <c r="AJ54" i="2"/>
  <c r="F24" i="2" l="1"/>
  <c r="AO48" i="2"/>
  <c r="AN48" i="2"/>
  <c r="AM48" i="2"/>
  <c r="AL48" i="2"/>
  <c r="AK48" i="2"/>
  <c r="AJ48" i="2"/>
  <c r="F63" i="2" l="1"/>
  <c r="F64" i="2"/>
  <c r="W12" i="4"/>
  <c r="H12" i="4"/>
  <c r="W359" i="4"/>
  <c r="H359" i="4"/>
  <c r="W255" i="4"/>
  <c r="H255" i="4"/>
  <c r="W254" i="4"/>
  <c r="H254" i="4"/>
  <c r="W256" i="4"/>
  <c r="H256" i="4"/>
  <c r="H24" i="1" l="1"/>
  <c r="K24" i="1"/>
  <c r="K25" i="1" s="1"/>
  <c r="N24" i="1"/>
  <c r="N25" i="1" s="1"/>
  <c r="P24" i="1"/>
  <c r="P25" i="1" s="1"/>
  <c r="G388" i="4"/>
  <c r="F388" i="4"/>
  <c r="V380" i="4"/>
  <c r="U380" i="4"/>
  <c r="O102" i="1" s="1"/>
  <c r="T380" i="4"/>
  <c r="N102" i="1" s="1"/>
  <c r="S380" i="4"/>
  <c r="M102" i="1" s="1"/>
  <c r="R380" i="4"/>
  <c r="L102" i="1" s="1"/>
  <c r="Q380" i="4"/>
  <c r="K102" i="1" s="1"/>
  <c r="P380" i="4"/>
  <c r="J102" i="1" s="1"/>
  <c r="O380" i="4"/>
  <c r="I102" i="1" s="1"/>
  <c r="N380" i="4"/>
  <c r="H102" i="1" s="1"/>
  <c r="M380" i="4"/>
  <c r="G102" i="1" s="1"/>
  <c r="L380" i="4"/>
  <c r="F102" i="1" s="1"/>
  <c r="K380" i="4"/>
  <c r="E102" i="1" s="1"/>
  <c r="G380" i="4"/>
  <c r="F380" i="4"/>
  <c r="W378" i="4"/>
  <c r="H378" i="4"/>
  <c r="W377" i="4"/>
  <c r="H377" i="4"/>
  <c r="W376" i="4"/>
  <c r="H376" i="4"/>
  <c r="W375" i="4"/>
  <c r="H375" i="4"/>
  <c r="P372" i="4"/>
  <c r="J101" i="1" s="1"/>
  <c r="O372" i="4"/>
  <c r="I101" i="1" s="1"/>
  <c r="G372" i="4"/>
  <c r="F372" i="4"/>
  <c r="W371" i="4"/>
  <c r="V372" i="4"/>
  <c r="U372" i="4"/>
  <c r="O101" i="1" s="1"/>
  <c r="T372" i="4"/>
  <c r="N101" i="1" s="1"/>
  <c r="S372" i="4"/>
  <c r="M101" i="1" s="1"/>
  <c r="R372" i="4"/>
  <c r="L101" i="1" s="1"/>
  <c r="Q372" i="4"/>
  <c r="K101" i="1" s="1"/>
  <c r="N372" i="4"/>
  <c r="H101" i="1" s="1"/>
  <c r="M372" i="4"/>
  <c r="G101" i="1" s="1"/>
  <c r="L372" i="4"/>
  <c r="F101" i="1" s="1"/>
  <c r="W369" i="4"/>
  <c r="H369" i="4"/>
  <c r="W368" i="4"/>
  <c r="H368" i="4"/>
  <c r="W367" i="4"/>
  <c r="H367" i="4"/>
  <c r="W366" i="4"/>
  <c r="H366" i="4"/>
  <c r="W365" i="4"/>
  <c r="H365" i="4"/>
  <c r="W364" i="4"/>
  <c r="H364" i="4"/>
  <c r="W363" i="4"/>
  <c r="H363" i="4"/>
  <c r="W362" i="4"/>
  <c r="H362" i="4"/>
  <c r="W361" i="4"/>
  <c r="H361" i="4"/>
  <c r="W360" i="4"/>
  <c r="H360" i="4"/>
  <c r="W358" i="4"/>
  <c r="H358" i="4"/>
  <c r="W357" i="4"/>
  <c r="H357" i="4"/>
  <c r="W356" i="4"/>
  <c r="H356" i="4"/>
  <c r="W355" i="4"/>
  <c r="H355" i="4"/>
  <c r="W354" i="4"/>
  <c r="H354" i="4"/>
  <c r="W353" i="4"/>
  <c r="H353" i="4"/>
  <c r="W352" i="4"/>
  <c r="H352" i="4"/>
  <c r="W350" i="4"/>
  <c r="H350" i="4"/>
  <c r="W349" i="4"/>
  <c r="H349" i="4"/>
  <c r="G346" i="4"/>
  <c r="F346" i="4"/>
  <c r="G339" i="4"/>
  <c r="F339" i="4"/>
  <c r="H330" i="4"/>
  <c r="H329" i="4"/>
  <c r="R332" i="4"/>
  <c r="L98" i="1" s="1"/>
  <c r="G332" i="4"/>
  <c r="F332" i="4"/>
  <c r="V332" i="4"/>
  <c r="T332" i="4"/>
  <c r="N98" i="1" s="1"/>
  <c r="Q332" i="4"/>
  <c r="K98" i="1" s="1"/>
  <c r="P332" i="4"/>
  <c r="J98" i="1" s="1"/>
  <c r="O332" i="4"/>
  <c r="I98" i="1" s="1"/>
  <c r="M332" i="4"/>
  <c r="G98" i="1" s="1"/>
  <c r="L332" i="4"/>
  <c r="F98" i="1" s="1"/>
  <c r="K332" i="4"/>
  <c r="E98" i="1" s="1"/>
  <c r="G326" i="4"/>
  <c r="F326" i="4"/>
  <c r="W324" i="4"/>
  <c r="H324" i="4"/>
  <c r="P326" i="4"/>
  <c r="J97" i="1" s="1"/>
  <c r="V326" i="4"/>
  <c r="R326" i="4"/>
  <c r="L97" i="1" s="1"/>
  <c r="L326" i="4"/>
  <c r="F97" i="1" s="1"/>
  <c r="Q326" i="4"/>
  <c r="K97" i="1" s="1"/>
  <c r="G275" i="4"/>
  <c r="F275" i="4"/>
  <c r="H273" i="4"/>
  <c r="H272" i="4"/>
  <c r="H271" i="4"/>
  <c r="G282" i="4"/>
  <c r="F282" i="4"/>
  <c r="O320" i="4"/>
  <c r="I96" i="1" s="1"/>
  <c r="N320" i="4"/>
  <c r="H96" i="1" s="1"/>
  <c r="G320" i="4"/>
  <c r="F320" i="4"/>
  <c r="V320" i="4"/>
  <c r="U320" i="4"/>
  <c r="O96" i="1" s="1"/>
  <c r="T320" i="4"/>
  <c r="N96" i="1" s="1"/>
  <c r="S320" i="4"/>
  <c r="M96" i="1" s="1"/>
  <c r="Q320" i="4"/>
  <c r="K96" i="1" s="1"/>
  <c r="L320" i="4"/>
  <c r="F96" i="1" s="1"/>
  <c r="P320" i="4"/>
  <c r="J96" i="1" s="1"/>
  <c r="H266" i="4"/>
  <c r="G268" i="4"/>
  <c r="F268" i="4"/>
  <c r="S268" i="4"/>
  <c r="M90" i="1" s="1"/>
  <c r="W250" i="4"/>
  <c r="W251" i="4"/>
  <c r="W253" i="4"/>
  <c r="W258" i="4"/>
  <c r="W259" i="4"/>
  <c r="H25" i="1" l="1"/>
  <c r="U25" i="1" s="1"/>
  <c r="U24" i="1"/>
  <c r="W330" i="4"/>
  <c r="T326" i="4"/>
  <c r="N97" i="1" s="1"/>
  <c r="V282" i="4"/>
  <c r="Q339" i="4"/>
  <c r="K99" i="1" s="1"/>
  <c r="L346" i="4"/>
  <c r="F100" i="1" s="1"/>
  <c r="S339" i="4"/>
  <c r="M99" i="1" s="1"/>
  <c r="S332" i="4"/>
  <c r="M98" i="1" s="1"/>
  <c r="W385" i="4"/>
  <c r="R388" i="4"/>
  <c r="L105" i="1" s="1"/>
  <c r="L106" i="1" s="1"/>
  <c r="H384" i="4"/>
  <c r="S388" i="4"/>
  <c r="M105" i="1" s="1"/>
  <c r="M106" i="1" s="1"/>
  <c r="Q388" i="4"/>
  <c r="K105" i="1" s="1"/>
  <c r="K106" i="1" s="1"/>
  <c r="U102" i="1"/>
  <c r="H385" i="4"/>
  <c r="R268" i="4"/>
  <c r="L90" i="1" s="1"/>
  <c r="K388" i="4"/>
  <c r="E105" i="1" s="1"/>
  <c r="M282" i="4"/>
  <c r="G92" i="1" s="1"/>
  <c r="L388" i="4"/>
  <c r="F105" i="1" s="1"/>
  <c r="F106" i="1" s="1"/>
  <c r="P388" i="4"/>
  <c r="J105" i="1" s="1"/>
  <c r="J106" i="1" s="1"/>
  <c r="M388" i="4"/>
  <c r="G105" i="1" s="1"/>
  <c r="G106" i="1" s="1"/>
  <c r="R275" i="4"/>
  <c r="L91" i="1" s="1"/>
  <c r="N388" i="4"/>
  <c r="H105" i="1" s="1"/>
  <c r="H106" i="1" s="1"/>
  <c r="O388" i="4"/>
  <c r="I105" i="1" s="1"/>
  <c r="I106" i="1" s="1"/>
  <c r="W386" i="4"/>
  <c r="R282" i="4"/>
  <c r="L92" i="1" s="1"/>
  <c r="U388" i="4"/>
  <c r="O105" i="1" s="1"/>
  <c r="O106" i="1" s="1"/>
  <c r="H380" i="4"/>
  <c r="V388" i="4"/>
  <c r="W370" i="4"/>
  <c r="W372" i="4" s="1"/>
  <c r="W380" i="4"/>
  <c r="H386" i="4"/>
  <c r="P339" i="4"/>
  <c r="J99" i="1" s="1"/>
  <c r="T388" i="4"/>
  <c r="N105" i="1" s="1"/>
  <c r="N106" i="1" s="1"/>
  <c r="M275" i="4"/>
  <c r="G91" i="1" s="1"/>
  <c r="H336" i="4"/>
  <c r="S326" i="4"/>
  <c r="M97" i="1" s="1"/>
  <c r="U346" i="4"/>
  <c r="O100" i="1" s="1"/>
  <c r="O275" i="4"/>
  <c r="I91" i="1" s="1"/>
  <c r="H275" i="4"/>
  <c r="N282" i="4"/>
  <c r="H92" i="1" s="1"/>
  <c r="N346" i="4"/>
  <c r="H100" i="1" s="1"/>
  <c r="W384" i="4"/>
  <c r="W280" i="4"/>
  <c r="N275" i="4"/>
  <c r="H91" i="1" s="1"/>
  <c r="T275" i="4"/>
  <c r="N91" i="1" s="1"/>
  <c r="W337" i="4"/>
  <c r="M346" i="4"/>
  <c r="G100" i="1" s="1"/>
  <c r="W344" i="4"/>
  <c r="Q282" i="4"/>
  <c r="K92" i="1" s="1"/>
  <c r="P275" i="4"/>
  <c r="J91" i="1" s="1"/>
  <c r="H323" i="4"/>
  <c r="V339" i="4"/>
  <c r="O346" i="4"/>
  <c r="I100" i="1" s="1"/>
  <c r="S346" i="4"/>
  <c r="M100" i="1" s="1"/>
  <c r="H278" i="4"/>
  <c r="Q275" i="4"/>
  <c r="K91" i="1" s="1"/>
  <c r="N339" i="4"/>
  <c r="H99" i="1" s="1"/>
  <c r="P346" i="4"/>
  <c r="J100" i="1" s="1"/>
  <c r="W273" i="4"/>
  <c r="W336" i="4"/>
  <c r="H342" i="4"/>
  <c r="S282" i="4"/>
  <c r="M92" i="1" s="1"/>
  <c r="S275" i="4"/>
  <c r="M91" i="1" s="1"/>
  <c r="L339" i="4"/>
  <c r="F99" i="1" s="1"/>
  <c r="T282" i="4"/>
  <c r="N92" i="1" s="1"/>
  <c r="U282" i="4"/>
  <c r="O92" i="1" s="1"/>
  <c r="U275" i="4"/>
  <c r="O91" i="1" s="1"/>
  <c r="K339" i="4"/>
  <c r="E99" i="1" s="1"/>
  <c r="T346" i="4"/>
  <c r="N100" i="1" s="1"/>
  <c r="V275" i="4"/>
  <c r="M339" i="4"/>
  <c r="G99" i="1" s="1"/>
  <c r="V346" i="4"/>
  <c r="W278" i="4"/>
  <c r="K275" i="4"/>
  <c r="E91" i="1" s="1"/>
  <c r="R346" i="4"/>
  <c r="L100" i="1" s="1"/>
  <c r="H335" i="4"/>
  <c r="H343" i="4"/>
  <c r="K372" i="4"/>
  <c r="E101" i="1" s="1"/>
  <c r="U101" i="1" s="1"/>
  <c r="O282" i="4"/>
  <c r="I92" i="1" s="1"/>
  <c r="W271" i="4"/>
  <c r="W272" i="4"/>
  <c r="T339" i="4"/>
  <c r="N99" i="1" s="1"/>
  <c r="P282" i="4"/>
  <c r="J92" i="1" s="1"/>
  <c r="L275" i="4"/>
  <c r="F91" i="1" s="1"/>
  <c r="R339" i="4"/>
  <c r="L99" i="1" s="1"/>
  <c r="U339" i="4"/>
  <c r="O99" i="1" s="1"/>
  <c r="W342" i="4"/>
  <c r="H370" i="4"/>
  <c r="H372" i="4" s="1"/>
  <c r="W323" i="4"/>
  <c r="H344" i="4"/>
  <c r="K346" i="4"/>
  <c r="E100" i="1" s="1"/>
  <c r="W343" i="4"/>
  <c r="Q346" i="4"/>
  <c r="K100" i="1" s="1"/>
  <c r="H337" i="4"/>
  <c r="O339" i="4"/>
  <c r="I99" i="1" s="1"/>
  <c r="W335" i="4"/>
  <c r="H332" i="4"/>
  <c r="W329" i="4"/>
  <c r="N332" i="4"/>
  <c r="H98" i="1" s="1"/>
  <c r="U98" i="1" s="1"/>
  <c r="U332" i="4"/>
  <c r="O98" i="1" s="1"/>
  <c r="O326" i="4"/>
  <c r="I97" i="1" s="1"/>
  <c r="U326" i="4"/>
  <c r="O97" i="1" s="1"/>
  <c r="K326" i="4"/>
  <c r="E97" i="1" s="1"/>
  <c r="M326" i="4"/>
  <c r="G97" i="1" s="1"/>
  <c r="N326" i="4"/>
  <c r="H97" i="1" s="1"/>
  <c r="K282" i="4"/>
  <c r="E92" i="1" s="1"/>
  <c r="H280" i="4"/>
  <c r="L282" i="4"/>
  <c r="F92" i="1" s="1"/>
  <c r="M320" i="4"/>
  <c r="G96" i="1" s="1"/>
  <c r="R320" i="4"/>
  <c r="L96" i="1" s="1"/>
  <c r="O268" i="4"/>
  <c r="I90" i="1" s="1"/>
  <c r="K320" i="4"/>
  <c r="E96" i="1" s="1"/>
  <c r="M268" i="4"/>
  <c r="G90" i="1" s="1"/>
  <c r="L268" i="4"/>
  <c r="F90" i="1" s="1"/>
  <c r="N268" i="4"/>
  <c r="H90" i="1" s="1"/>
  <c r="K268" i="4"/>
  <c r="E90" i="1" s="1"/>
  <c r="U268" i="4"/>
  <c r="O90" i="1" s="1"/>
  <c r="W266" i="4"/>
  <c r="V268" i="4"/>
  <c r="Q268" i="4"/>
  <c r="K90" i="1" s="1"/>
  <c r="T268" i="4"/>
  <c r="N90" i="1" s="1"/>
  <c r="P268" i="4"/>
  <c r="J90" i="1" s="1"/>
  <c r="H264" i="4"/>
  <c r="W264" i="4"/>
  <c r="W244" i="4"/>
  <c r="W112" i="4"/>
  <c r="H112" i="4"/>
  <c r="H258" i="4"/>
  <c r="G261" i="4"/>
  <c r="F261" i="4"/>
  <c r="H259" i="4"/>
  <c r="H253" i="4"/>
  <c r="H251" i="4"/>
  <c r="H250" i="4"/>
  <c r="W249" i="4"/>
  <c r="H249" i="4"/>
  <c r="W247" i="4"/>
  <c r="H247" i="4"/>
  <c r="W110" i="4"/>
  <c r="H110" i="4"/>
  <c r="F103" i="1" l="1"/>
  <c r="K103" i="1"/>
  <c r="I103" i="1"/>
  <c r="W332" i="4"/>
  <c r="X332" i="4" s="1"/>
  <c r="N103" i="1"/>
  <c r="J103" i="1"/>
  <c r="H388" i="4"/>
  <c r="O103" i="1"/>
  <c r="L103" i="1"/>
  <c r="U100" i="1"/>
  <c r="U99" i="1"/>
  <c r="X380" i="4"/>
  <c r="M103" i="1"/>
  <c r="U91" i="1"/>
  <c r="G103" i="1"/>
  <c r="E106" i="1"/>
  <c r="U105" i="1"/>
  <c r="H103" i="1"/>
  <c r="U97" i="1"/>
  <c r="E103" i="1"/>
  <c r="U96" i="1"/>
  <c r="U92" i="1"/>
  <c r="U90" i="1"/>
  <c r="W282" i="4"/>
  <c r="W275" i="4"/>
  <c r="X275" i="4" s="1"/>
  <c r="W388" i="4"/>
  <c r="H326" i="4"/>
  <c r="X372" i="4"/>
  <c r="H339" i="4"/>
  <c r="W346" i="4"/>
  <c r="W326" i="4"/>
  <c r="H346" i="4"/>
  <c r="W339" i="4"/>
  <c r="H282" i="4"/>
  <c r="H244" i="4"/>
  <c r="X346" i="4" l="1"/>
  <c r="X326" i="4"/>
  <c r="X388" i="4"/>
  <c r="X339" i="4"/>
  <c r="X282" i="4"/>
  <c r="H31" i="4"/>
  <c r="L31" i="4" s="1"/>
  <c r="W31" i="4" l="1"/>
  <c r="V304" i="4"/>
  <c r="U304" i="4"/>
  <c r="O93" i="1" s="1"/>
  <c r="T304" i="4"/>
  <c r="N93" i="1" s="1"/>
  <c r="S304" i="4"/>
  <c r="M93" i="1" s="1"/>
  <c r="R304" i="4"/>
  <c r="L93" i="1" s="1"/>
  <c r="Q304" i="4"/>
  <c r="K93" i="1" s="1"/>
  <c r="N304" i="4"/>
  <c r="H93" i="1" s="1"/>
  <c r="M304" i="4"/>
  <c r="G93" i="1" s="1"/>
  <c r="L304" i="4"/>
  <c r="F93" i="1" s="1"/>
  <c r="K304" i="4"/>
  <c r="E93" i="1" s="1"/>
  <c r="G304" i="4"/>
  <c r="F304" i="4"/>
  <c r="H303" i="4"/>
  <c r="W302" i="4"/>
  <c r="H302" i="4"/>
  <c r="W301" i="4"/>
  <c r="H301" i="4"/>
  <c r="W300" i="4"/>
  <c r="H300" i="4"/>
  <c r="W299" i="4"/>
  <c r="H299" i="4"/>
  <c r="W298" i="4"/>
  <c r="H298" i="4"/>
  <c r="W297" i="4"/>
  <c r="H297" i="4"/>
  <c r="W296" i="4"/>
  <c r="H296" i="4"/>
  <c r="W295" i="4"/>
  <c r="H295" i="4"/>
  <c r="W294" i="4"/>
  <c r="H294" i="4"/>
  <c r="W293" i="4"/>
  <c r="H293" i="4"/>
  <c r="W292" i="4"/>
  <c r="H292" i="4"/>
  <c r="W291" i="4"/>
  <c r="H291" i="4"/>
  <c r="W290" i="4"/>
  <c r="H290" i="4"/>
  <c r="W289" i="4"/>
  <c r="H289" i="4"/>
  <c r="W288" i="4"/>
  <c r="H288" i="4"/>
  <c r="H286" i="4"/>
  <c r="O286" i="4" s="1"/>
  <c r="H285" i="4"/>
  <c r="P285" i="4" s="1"/>
  <c r="P304" i="4" s="1"/>
  <c r="J93" i="1" s="1"/>
  <c r="W285" i="4" l="1"/>
  <c r="W286" i="4"/>
  <c r="H287" i="4"/>
  <c r="H304" i="4" l="1"/>
  <c r="O287" i="4"/>
  <c r="H39" i="4"/>
  <c r="L39" i="4" s="1"/>
  <c r="H40" i="4"/>
  <c r="L40" i="4" s="1"/>
  <c r="W40" i="4" s="1"/>
  <c r="W39" i="4" l="1"/>
  <c r="O304" i="4"/>
  <c r="I93" i="1" s="1"/>
  <c r="U93" i="1" s="1"/>
  <c r="W287" i="4"/>
  <c r="W304" i="4" s="1"/>
  <c r="X304" i="4" s="1"/>
  <c r="V241" i="4" l="1"/>
  <c r="U241" i="4"/>
  <c r="O88" i="1" s="1"/>
  <c r="T241" i="4"/>
  <c r="N88" i="1" s="1"/>
  <c r="S241" i="4"/>
  <c r="M88" i="1" s="1"/>
  <c r="R241" i="4"/>
  <c r="L88" i="1" s="1"/>
  <c r="Q241" i="4"/>
  <c r="K88" i="1" s="1"/>
  <c r="G241" i="4"/>
  <c r="F241" i="4"/>
  <c r="P241" i="4"/>
  <c r="J88" i="1" s="1"/>
  <c r="O241" i="4"/>
  <c r="I88" i="1" s="1"/>
  <c r="N241" i="4"/>
  <c r="H88" i="1" s="1"/>
  <c r="M241" i="4"/>
  <c r="G88" i="1" s="1"/>
  <c r="E88" i="1"/>
  <c r="W228" i="4"/>
  <c r="W227" i="4"/>
  <c r="W226" i="4"/>
  <c r="W225" i="4"/>
  <c r="W224" i="4"/>
  <c r="W223" i="4"/>
  <c r="W230" i="4"/>
  <c r="W222" i="4"/>
  <c r="G219" i="4"/>
  <c r="F219" i="4"/>
  <c r="V219" i="4"/>
  <c r="U219" i="4"/>
  <c r="O87" i="1" s="1"/>
  <c r="T219" i="4"/>
  <c r="N87" i="1" s="1"/>
  <c r="S219" i="4"/>
  <c r="M87" i="1" s="1"/>
  <c r="R219" i="4"/>
  <c r="L87" i="1" s="1"/>
  <c r="Q219" i="4"/>
  <c r="K87" i="1" s="1"/>
  <c r="P219" i="4"/>
  <c r="J87" i="1" s="1"/>
  <c r="N219" i="4"/>
  <c r="H87" i="1" s="1"/>
  <c r="M219" i="4"/>
  <c r="G87" i="1" s="1"/>
  <c r="L219" i="4"/>
  <c r="F87" i="1" s="1"/>
  <c r="K219" i="4"/>
  <c r="E87" i="1" s="1"/>
  <c r="W216" i="4"/>
  <c r="W210" i="4"/>
  <c r="H210" i="4"/>
  <c r="R213" i="4"/>
  <c r="L86" i="1" s="1"/>
  <c r="N213" i="4"/>
  <c r="H86" i="1" s="1"/>
  <c r="G213" i="4"/>
  <c r="F213" i="4"/>
  <c r="V213" i="4"/>
  <c r="U213" i="4"/>
  <c r="O86" i="1" s="1"/>
  <c r="T213" i="4"/>
  <c r="N86" i="1" s="1"/>
  <c r="S213" i="4"/>
  <c r="M86" i="1" s="1"/>
  <c r="Q213" i="4"/>
  <c r="K86" i="1" s="1"/>
  <c r="P213" i="4"/>
  <c r="J86" i="1" s="1"/>
  <c r="O213" i="4"/>
  <c r="I86" i="1" s="1"/>
  <c r="M213" i="4"/>
  <c r="G86" i="1" s="1"/>
  <c r="K213" i="4"/>
  <c r="E86" i="1" s="1"/>
  <c r="W209" i="4"/>
  <c r="W208" i="4"/>
  <c r="G205" i="4"/>
  <c r="F205" i="4"/>
  <c r="W204" i="4"/>
  <c r="G199" i="4"/>
  <c r="F199" i="4"/>
  <c r="W198" i="4"/>
  <c r="G193" i="4"/>
  <c r="F193" i="4"/>
  <c r="W192" i="4"/>
  <c r="H192" i="4"/>
  <c r="H183" i="4"/>
  <c r="G187" i="4"/>
  <c r="F187" i="4"/>
  <c r="V185" i="4"/>
  <c r="U185" i="4"/>
  <c r="T185" i="4"/>
  <c r="S185" i="4"/>
  <c r="R185" i="4"/>
  <c r="Q185" i="4"/>
  <c r="P185" i="4"/>
  <c r="O185" i="4"/>
  <c r="N185" i="4"/>
  <c r="M185" i="4"/>
  <c r="L185" i="4"/>
  <c r="K185" i="4"/>
  <c r="V184" i="4"/>
  <c r="U184" i="4"/>
  <c r="T184" i="4"/>
  <c r="S184" i="4"/>
  <c r="R184" i="4"/>
  <c r="Q184" i="4"/>
  <c r="P184" i="4"/>
  <c r="O184" i="4"/>
  <c r="N184" i="4"/>
  <c r="M184" i="4"/>
  <c r="L184" i="4"/>
  <c r="K184" i="4"/>
  <c r="W183" i="4"/>
  <c r="V179" i="4"/>
  <c r="U179" i="4"/>
  <c r="O79" i="1" s="1"/>
  <c r="T179" i="4"/>
  <c r="N79" i="1" s="1"/>
  <c r="S179" i="4"/>
  <c r="M79" i="1" s="1"/>
  <c r="R179" i="4"/>
  <c r="L79" i="1" s="1"/>
  <c r="Q179" i="4"/>
  <c r="K79" i="1" s="1"/>
  <c r="P179" i="4"/>
  <c r="J79" i="1" s="1"/>
  <c r="O179" i="4"/>
  <c r="I79" i="1" s="1"/>
  <c r="N179" i="4"/>
  <c r="H79" i="1" s="1"/>
  <c r="M179" i="4"/>
  <c r="G79" i="1" s="1"/>
  <c r="K179" i="4"/>
  <c r="E79" i="1" s="1"/>
  <c r="G179" i="4"/>
  <c r="F179" i="4"/>
  <c r="W176" i="4"/>
  <c r="W175" i="4"/>
  <c r="W174" i="4"/>
  <c r="W173" i="4"/>
  <c r="W172" i="4"/>
  <c r="W170" i="4"/>
  <c r="W169" i="4"/>
  <c r="W168" i="4"/>
  <c r="W167" i="4"/>
  <c r="G164" i="4"/>
  <c r="F164" i="4"/>
  <c r="H159" i="4"/>
  <c r="G156" i="4"/>
  <c r="F156" i="4"/>
  <c r="T156" i="4"/>
  <c r="N77" i="1" s="1"/>
  <c r="M156" i="4"/>
  <c r="G77" i="1" s="1"/>
  <c r="W152" i="4"/>
  <c r="H152" i="4"/>
  <c r="W151" i="4"/>
  <c r="H151" i="4"/>
  <c r="G148" i="4"/>
  <c r="F148" i="4"/>
  <c r="V146" i="4"/>
  <c r="U146" i="4"/>
  <c r="T146" i="4"/>
  <c r="S146" i="4"/>
  <c r="R146" i="4"/>
  <c r="Q146" i="4"/>
  <c r="P146" i="4"/>
  <c r="O146" i="4"/>
  <c r="N146" i="4"/>
  <c r="M146" i="4"/>
  <c r="L146" i="4"/>
  <c r="K146" i="4"/>
  <c r="V145" i="4"/>
  <c r="U145" i="4"/>
  <c r="T145" i="4"/>
  <c r="S145" i="4"/>
  <c r="R145" i="4"/>
  <c r="Q145" i="4"/>
  <c r="P145" i="4"/>
  <c r="O145" i="4"/>
  <c r="N145" i="4"/>
  <c r="M145" i="4"/>
  <c r="L145" i="4"/>
  <c r="K145" i="4"/>
  <c r="V144" i="4"/>
  <c r="U144" i="4"/>
  <c r="T144" i="4"/>
  <c r="S144" i="4"/>
  <c r="R144" i="4"/>
  <c r="Q144" i="4"/>
  <c r="P144" i="4"/>
  <c r="O144" i="4"/>
  <c r="N144" i="4"/>
  <c r="M144" i="4"/>
  <c r="L144" i="4"/>
  <c r="K144" i="4"/>
  <c r="H191" i="4" l="1"/>
  <c r="W177" i="4"/>
  <c r="N187" i="4"/>
  <c r="H82" i="1" s="1"/>
  <c r="U156" i="4"/>
  <c r="O77" i="1" s="1"/>
  <c r="K164" i="4"/>
  <c r="E78" i="1" s="1"/>
  <c r="L156" i="4"/>
  <c r="F77" i="1" s="1"/>
  <c r="M187" i="4"/>
  <c r="G82" i="1" s="1"/>
  <c r="S156" i="4"/>
  <c r="M77" i="1" s="1"/>
  <c r="O156" i="4"/>
  <c r="I77" i="1" s="1"/>
  <c r="P156" i="4"/>
  <c r="J77" i="1" s="1"/>
  <c r="V156" i="4"/>
  <c r="R156" i="4"/>
  <c r="L77" i="1" s="1"/>
  <c r="L179" i="4"/>
  <c r="F79" i="1" s="1"/>
  <c r="O187" i="4"/>
  <c r="I82" i="1" s="1"/>
  <c r="R148" i="4"/>
  <c r="L76" i="1" s="1"/>
  <c r="N164" i="4"/>
  <c r="H78" i="1" s="1"/>
  <c r="V187" i="4"/>
  <c r="S148" i="4"/>
  <c r="M76" i="1" s="1"/>
  <c r="Q164" i="4"/>
  <c r="K78" i="1" s="1"/>
  <c r="S187" i="4"/>
  <c r="M82" i="1" s="1"/>
  <c r="U187" i="4"/>
  <c r="O82" i="1" s="1"/>
  <c r="T148" i="4"/>
  <c r="N76" i="1" s="1"/>
  <c r="U148" i="4"/>
  <c r="O76" i="1" s="1"/>
  <c r="V164" i="4"/>
  <c r="H239" i="4"/>
  <c r="H241" i="4" s="1"/>
  <c r="H153" i="4"/>
  <c r="V148" i="4"/>
  <c r="R164" i="4"/>
  <c r="L78" i="1" s="1"/>
  <c r="P187" i="4"/>
  <c r="J82" i="1" s="1"/>
  <c r="K156" i="4"/>
  <c r="E77" i="1" s="1"/>
  <c r="T164" i="4"/>
  <c r="N78" i="1" s="1"/>
  <c r="U164" i="4"/>
  <c r="O78" i="1" s="1"/>
  <c r="W217" i="4"/>
  <c r="W219" i="4" s="1"/>
  <c r="W211" i="4"/>
  <c r="W213" i="4" s="1"/>
  <c r="H179" i="4"/>
  <c r="W239" i="4"/>
  <c r="W241" i="4" s="1"/>
  <c r="L241" i="4"/>
  <c r="F88" i="1" s="1"/>
  <c r="U88" i="1" s="1"/>
  <c r="H217" i="4"/>
  <c r="H219" i="4" s="1"/>
  <c r="O219" i="4"/>
  <c r="I87" i="1" s="1"/>
  <c r="U87" i="1" s="1"/>
  <c r="W154" i="4"/>
  <c r="L164" i="4"/>
  <c r="F78" i="1" s="1"/>
  <c r="H184" i="4"/>
  <c r="W146" i="4"/>
  <c r="W162" i="4"/>
  <c r="H144" i="4"/>
  <c r="L148" i="4"/>
  <c r="F76" i="1" s="1"/>
  <c r="W145" i="4"/>
  <c r="O164" i="4"/>
  <c r="I78" i="1" s="1"/>
  <c r="S164" i="4"/>
  <c r="M78" i="1" s="1"/>
  <c r="R187" i="4"/>
  <c r="L82" i="1" s="1"/>
  <c r="W159" i="4"/>
  <c r="W179" i="4"/>
  <c r="M148" i="4"/>
  <c r="G76" i="1" s="1"/>
  <c r="Q156" i="4"/>
  <c r="K77" i="1" s="1"/>
  <c r="P164" i="4"/>
  <c r="J78" i="1" s="1"/>
  <c r="N148" i="4"/>
  <c r="H76" i="1" s="1"/>
  <c r="T187" i="4"/>
  <c r="N82" i="1" s="1"/>
  <c r="O148" i="4"/>
  <c r="I76" i="1" s="1"/>
  <c r="Q187" i="4"/>
  <c r="K82" i="1" s="1"/>
  <c r="H185" i="4"/>
  <c r="P148" i="4"/>
  <c r="J76" i="1" s="1"/>
  <c r="Q148" i="4"/>
  <c r="K76" i="1" s="1"/>
  <c r="N156" i="4"/>
  <c r="H77" i="1" s="1"/>
  <c r="H154" i="4"/>
  <c r="H146" i="4"/>
  <c r="H145" i="4"/>
  <c r="M164" i="4"/>
  <c r="G78" i="1" s="1"/>
  <c r="L187" i="4"/>
  <c r="F82" i="1" s="1"/>
  <c r="H211" i="4"/>
  <c r="H213" i="4" s="1"/>
  <c r="L213" i="4"/>
  <c r="F86" i="1" s="1"/>
  <c r="U86" i="1" s="1"/>
  <c r="W197" i="4"/>
  <c r="W191" i="4"/>
  <c r="W185" i="4"/>
  <c r="W184" i="4"/>
  <c r="K187" i="4"/>
  <c r="E82" i="1" s="1"/>
  <c r="W161" i="4"/>
  <c r="H162" i="4"/>
  <c r="H161" i="4"/>
  <c r="W153" i="4"/>
  <c r="K148" i="4"/>
  <c r="E76" i="1" s="1"/>
  <c r="W144" i="4"/>
  <c r="G408" i="4"/>
  <c r="F408" i="4"/>
  <c r="W405" i="4"/>
  <c r="H405" i="4"/>
  <c r="H395" i="4"/>
  <c r="X108" i="17" s="1"/>
  <c r="G346" i="18" s="1"/>
  <c r="F346" i="18" s="1"/>
  <c r="W70" i="4"/>
  <c r="H70" i="4"/>
  <c r="H46" i="4"/>
  <c r="L46" i="4" s="1"/>
  <c r="W46" i="4" s="1"/>
  <c r="H394" i="4"/>
  <c r="W399" i="4"/>
  <c r="H399" i="4"/>
  <c r="W392" i="4"/>
  <c r="H392" i="4"/>
  <c r="H41" i="4"/>
  <c r="L41" i="4" s="1"/>
  <c r="W41" i="4" s="1"/>
  <c r="H59" i="4"/>
  <c r="L59" i="4" s="1"/>
  <c r="W59" i="4" l="1"/>
  <c r="N80" i="1"/>
  <c r="K80" i="1"/>
  <c r="L80" i="1"/>
  <c r="U82" i="1"/>
  <c r="G80" i="1"/>
  <c r="U78" i="1"/>
  <c r="M80" i="1"/>
  <c r="J80" i="1"/>
  <c r="I80" i="1"/>
  <c r="U76" i="1"/>
  <c r="O80" i="1"/>
  <c r="H80" i="1"/>
  <c r="U77" i="1"/>
  <c r="E80" i="1"/>
  <c r="F80" i="1"/>
  <c r="U79" i="1"/>
  <c r="W187" i="4"/>
  <c r="H156" i="4"/>
  <c r="H187" i="4"/>
  <c r="X219" i="4"/>
  <c r="H148" i="4"/>
  <c r="H396" i="4"/>
  <c r="X213" i="4"/>
  <c r="X241" i="4"/>
  <c r="X179" i="4"/>
  <c r="W148" i="4"/>
  <c r="W156" i="4"/>
  <c r="K95" i="3"/>
  <c r="J95" i="3"/>
  <c r="Y95" i="3" s="1"/>
  <c r="AA95" i="3" s="1"/>
  <c r="AC95" i="3" s="1"/>
  <c r="AE95" i="3" s="1"/>
  <c r="K96" i="3"/>
  <c r="H96" i="3" s="1"/>
  <c r="J96" i="3"/>
  <c r="Y96" i="3" s="1"/>
  <c r="AA96" i="3" s="1"/>
  <c r="AC96" i="3" s="1"/>
  <c r="AE96" i="3" s="1"/>
  <c r="W395" i="4" l="1"/>
  <c r="W394" i="4"/>
  <c r="X156" i="4"/>
  <c r="X187" i="4"/>
  <c r="X148" i="4"/>
  <c r="W396" i="4" l="1"/>
  <c r="W252" i="4"/>
  <c r="W261" i="4" s="1"/>
  <c r="H252" i="4"/>
  <c r="H261" i="4" s="1"/>
  <c r="W265" i="4" l="1"/>
  <c r="W268" i="4" s="1"/>
  <c r="H265" i="4"/>
  <c r="H268" i="4" s="1"/>
  <c r="W47" i="4"/>
  <c r="H47" i="4"/>
  <c r="X268" i="4" l="1"/>
  <c r="W45" i="4"/>
  <c r="M55" i="4"/>
  <c r="G67" i="1" s="1"/>
  <c r="H45" i="4"/>
  <c r="K55" i="4"/>
  <c r="E67" i="1" s="1"/>
  <c r="L55" i="4"/>
  <c r="F67" i="1" s="1"/>
  <c r="W48" i="4"/>
  <c r="H48" i="4"/>
  <c r="W320" i="4"/>
  <c r="H320" i="4"/>
  <c r="X320" i="4" l="1"/>
  <c r="H138" i="4"/>
  <c r="H134" i="4"/>
  <c r="H133" i="4"/>
  <c r="H132" i="4"/>
  <c r="H131" i="4"/>
  <c r="H130" i="4"/>
  <c r="H129" i="4"/>
  <c r="W134" i="4"/>
  <c r="W133" i="4"/>
  <c r="W132" i="4"/>
  <c r="W138" i="4"/>
  <c r="W160" i="4"/>
  <c r="W164" i="4" s="1"/>
  <c r="W111" i="4"/>
  <c r="W400" i="4"/>
  <c r="W401" i="4"/>
  <c r="W402" i="4"/>
  <c r="W403" i="4"/>
  <c r="W404" i="4"/>
  <c r="W121" i="4"/>
  <c r="H123" i="4"/>
  <c r="H160" i="4"/>
  <c r="H164" i="4" s="1"/>
  <c r="H121" i="4"/>
  <c r="H116" i="4"/>
  <c r="H115" i="4"/>
  <c r="H404" i="4"/>
  <c r="H403" i="4"/>
  <c r="H402" i="4"/>
  <c r="H401" i="4"/>
  <c r="H400" i="4"/>
  <c r="H111" i="4"/>
  <c r="W102" i="4"/>
  <c r="H102" i="4"/>
  <c r="W103" i="4"/>
  <c r="H103" i="4"/>
  <c r="W92" i="4"/>
  <c r="H92" i="4"/>
  <c r="H91" i="4"/>
  <c r="H88" i="4"/>
  <c r="H105" i="4"/>
  <c r="H104" i="4"/>
  <c r="H101" i="4"/>
  <c r="H100" i="4"/>
  <c r="H98" i="4"/>
  <c r="H97" i="4"/>
  <c r="H96" i="4"/>
  <c r="H95" i="4"/>
  <c r="H94" i="4"/>
  <c r="H93" i="4"/>
  <c r="H90" i="4"/>
  <c r="H89" i="4"/>
  <c r="H87" i="4"/>
  <c r="H85" i="4"/>
  <c r="H84" i="4"/>
  <c r="H79" i="4"/>
  <c r="H78" i="4"/>
  <c r="H77" i="4"/>
  <c r="H71" i="4"/>
  <c r="H69" i="4"/>
  <c r="H68" i="4"/>
  <c r="H67" i="4"/>
  <c r="H66" i="4"/>
  <c r="H65" i="4"/>
  <c r="H64" i="4"/>
  <c r="H63" i="4"/>
  <c r="H62" i="4"/>
  <c r="H61" i="4"/>
  <c r="H72" i="4"/>
  <c r="W72" i="4"/>
  <c r="H50" i="4"/>
  <c r="W44" i="4"/>
  <c r="W53" i="4"/>
  <c r="W52" i="4"/>
  <c r="W51" i="4"/>
  <c r="W50" i="4"/>
  <c r="W49" i="4"/>
  <c r="H53" i="4"/>
  <c r="H51" i="4"/>
  <c r="H49" i="4"/>
  <c r="W23" i="4"/>
  <c r="H23" i="4"/>
  <c r="H22" i="4"/>
  <c r="W24" i="4"/>
  <c r="H24" i="4"/>
  <c r="H52" i="4"/>
  <c r="H26" i="4"/>
  <c r="H25" i="4"/>
  <c r="H16" i="4"/>
  <c r="H14" i="4"/>
  <c r="H10" i="4"/>
  <c r="H15" i="4"/>
  <c r="H9" i="4"/>
  <c r="H11" i="4"/>
  <c r="X164" i="4" l="1"/>
  <c r="W130" i="4"/>
  <c r="W131" i="4"/>
  <c r="W129" i="4"/>
  <c r="H81" i="4"/>
  <c r="H99" i="4"/>
  <c r="W91" i="4"/>
  <c r="W88" i="4"/>
  <c r="W11" i="4"/>
  <c r="W8" i="4"/>
  <c r="W9" i="4"/>
  <c r="H8" i="4"/>
  <c r="J30" i="3" l="1"/>
  <c r="J19" i="3"/>
  <c r="K19" i="3" l="1"/>
  <c r="Y19" i="3"/>
  <c r="AA19" i="3" s="1"/>
  <c r="AC19" i="3" s="1"/>
  <c r="AE19" i="3" s="1"/>
  <c r="K30" i="3"/>
  <c r="Y30" i="3"/>
  <c r="AA30" i="3" s="1"/>
  <c r="AC30" i="3" s="1"/>
  <c r="AE30" i="3" s="1"/>
  <c r="K64" i="3"/>
  <c r="J64" i="3"/>
  <c r="K63" i="3"/>
  <c r="J63" i="3"/>
  <c r="F9" i="16" l="1"/>
  <c r="F41" i="16" s="1"/>
  <c r="E36" i="11" l="1"/>
  <c r="F33" i="16"/>
  <c r="I36" i="11" l="1"/>
  <c r="J36" i="11"/>
  <c r="W58" i="23"/>
  <c r="W55" i="23"/>
  <c r="W52" i="23"/>
  <c r="W33" i="23"/>
  <c r="I42" i="11" l="1"/>
  <c r="U33" i="5"/>
  <c r="U101" i="5"/>
  <c r="P33" i="5"/>
  <c r="F123" i="3" l="1"/>
  <c r="K120" i="3"/>
  <c r="F135" i="3"/>
  <c r="L162" i="3" s="1"/>
  <c r="E61" i="1" s="1"/>
  <c r="K134" i="3"/>
  <c r="K133" i="3"/>
  <c r="K132" i="3"/>
  <c r="O144" i="3"/>
  <c r="H47" i="1" s="1"/>
  <c r="Q144" i="3"/>
  <c r="J47" i="1" s="1"/>
  <c r="L13" i="3" l="1"/>
  <c r="L144" i="3"/>
  <c r="E47" i="1" s="1"/>
  <c r="V162" i="3"/>
  <c r="O61" i="1" s="1"/>
  <c r="S160" i="3"/>
  <c r="L59" i="1" s="1"/>
  <c r="O138" i="3"/>
  <c r="H43" i="1" s="1"/>
  <c r="L138" i="3"/>
  <c r="E43" i="1" s="1"/>
  <c r="R160" i="3"/>
  <c r="K59" i="1" s="1"/>
  <c r="M138" i="3"/>
  <c r="F43" i="1" s="1"/>
  <c r="P144" i="3"/>
  <c r="I47" i="1" s="1"/>
  <c r="R139" i="3"/>
  <c r="K44" i="1" s="1"/>
  <c r="N144" i="3"/>
  <c r="G47" i="1" s="1"/>
  <c r="Q160" i="3"/>
  <c r="J59" i="1" s="1"/>
  <c r="P139" i="3"/>
  <c r="I44" i="1" s="1"/>
  <c r="M144" i="3"/>
  <c r="F47" i="1" s="1"/>
  <c r="N160" i="3"/>
  <c r="G59" i="1" s="1"/>
  <c r="O139" i="3"/>
  <c r="H44" i="1" s="1"/>
  <c r="Q139" i="3"/>
  <c r="J44" i="1" s="1"/>
  <c r="K135" i="3"/>
  <c r="N139" i="3"/>
  <c r="G44" i="1" s="1"/>
  <c r="M139" i="3"/>
  <c r="F44" i="1" s="1"/>
  <c r="V138" i="3"/>
  <c r="O43" i="1" s="1"/>
  <c r="L140" i="3"/>
  <c r="E45" i="1" s="1"/>
  <c r="N138" i="3"/>
  <c r="G43" i="1" s="1"/>
  <c r="W144" i="3"/>
  <c r="P47" i="1" s="1"/>
  <c r="N162" i="3"/>
  <c r="G61" i="1" s="1"/>
  <c r="V140" i="3"/>
  <c r="O45" i="1" s="1"/>
  <c r="V144" i="3"/>
  <c r="O47" i="1" s="1"/>
  <c r="M162" i="3"/>
  <c r="F61" i="1" s="1"/>
  <c r="U140" i="3"/>
  <c r="N45" i="1" s="1"/>
  <c r="U144" i="3"/>
  <c r="N47" i="1" s="1"/>
  <c r="W161" i="3"/>
  <c r="P60" i="1" s="1"/>
  <c r="T140" i="3"/>
  <c r="M45" i="1" s="1"/>
  <c r="T144" i="3"/>
  <c r="M47" i="1" s="1"/>
  <c r="V161" i="3"/>
  <c r="O60" i="1" s="1"/>
  <c r="S140" i="3"/>
  <c r="L45" i="1" s="1"/>
  <c r="S144" i="3"/>
  <c r="L47" i="1" s="1"/>
  <c r="S161" i="3"/>
  <c r="L60" i="1" s="1"/>
  <c r="R140" i="3"/>
  <c r="K45" i="1" s="1"/>
  <c r="R144" i="3"/>
  <c r="K47" i="1" s="1"/>
  <c r="Q161" i="3"/>
  <c r="J60" i="1" s="1"/>
  <c r="P140" i="3"/>
  <c r="I45" i="1" s="1"/>
  <c r="W140" i="3"/>
  <c r="P45" i="1" s="1"/>
  <c r="T160" i="3"/>
  <c r="M59" i="1" s="1"/>
  <c r="S139" i="3"/>
  <c r="L44" i="1" s="1"/>
  <c r="U161" i="3"/>
  <c r="N60" i="1" s="1"/>
  <c r="P160" i="3"/>
  <c r="I59" i="1" s="1"/>
  <c r="T161" i="3"/>
  <c r="M60" i="1" s="1"/>
  <c r="O160" i="3"/>
  <c r="H59" i="1" s="1"/>
  <c r="W162" i="3"/>
  <c r="P61" i="1" s="1"/>
  <c r="R161" i="3"/>
  <c r="K60" i="1" s="1"/>
  <c r="M160" i="3"/>
  <c r="F59" i="1" s="1"/>
  <c r="Q140" i="3"/>
  <c r="J45" i="1" s="1"/>
  <c r="W138" i="3"/>
  <c r="P43" i="1" s="1"/>
  <c r="U162" i="3"/>
  <c r="N61" i="1" s="1"/>
  <c r="P161" i="3"/>
  <c r="I60" i="1" s="1"/>
  <c r="O140" i="3"/>
  <c r="H45" i="1" s="1"/>
  <c r="U138" i="3"/>
  <c r="N43" i="1" s="1"/>
  <c r="T162" i="3"/>
  <c r="M61" i="1" s="1"/>
  <c r="O161" i="3"/>
  <c r="H60" i="1" s="1"/>
  <c r="L160" i="3"/>
  <c r="E59" i="1" s="1"/>
  <c r="N140" i="3"/>
  <c r="T138" i="3"/>
  <c r="M43" i="1" s="1"/>
  <c r="S162" i="3"/>
  <c r="L61" i="1" s="1"/>
  <c r="N161" i="3"/>
  <c r="G60" i="1" s="1"/>
  <c r="M140" i="3"/>
  <c r="F45" i="1" s="1"/>
  <c r="S138" i="3"/>
  <c r="L43" i="1" s="1"/>
  <c r="R162" i="3"/>
  <c r="K61" i="1" s="1"/>
  <c r="M161" i="3"/>
  <c r="W139" i="3"/>
  <c r="P44" i="1" s="1"/>
  <c r="R138" i="3"/>
  <c r="K43" i="1" s="1"/>
  <c r="Q162" i="3"/>
  <c r="J61" i="1" s="1"/>
  <c r="W160" i="3"/>
  <c r="L161" i="3"/>
  <c r="E60" i="1" s="1"/>
  <c r="V139" i="3"/>
  <c r="O44" i="1" s="1"/>
  <c r="Q138" i="3"/>
  <c r="J43" i="1" s="1"/>
  <c r="P162" i="3"/>
  <c r="I61" i="1" s="1"/>
  <c r="V160" i="3"/>
  <c r="O59" i="1" s="1"/>
  <c r="L139" i="3"/>
  <c r="E44" i="1" s="1"/>
  <c r="U139" i="3"/>
  <c r="N44" i="1" s="1"/>
  <c r="P138" i="3"/>
  <c r="I43" i="1" s="1"/>
  <c r="O162" i="3"/>
  <c r="H61" i="1" s="1"/>
  <c r="U160" i="3"/>
  <c r="N59" i="1" s="1"/>
  <c r="T139" i="3"/>
  <c r="M44" i="1" s="1"/>
  <c r="J33" i="3"/>
  <c r="Y33" i="3" s="1"/>
  <c r="AA33" i="3" s="1"/>
  <c r="AC33" i="3" s="1"/>
  <c r="AE33" i="3" s="1"/>
  <c r="K144" i="3"/>
  <c r="J39" i="3"/>
  <c r="K39" i="3"/>
  <c r="Y39" i="3"/>
  <c r="M115" i="3"/>
  <c r="F40" i="1" s="1"/>
  <c r="N115" i="3"/>
  <c r="G40" i="1" s="1"/>
  <c r="O115" i="3"/>
  <c r="H40" i="1" s="1"/>
  <c r="P115" i="3"/>
  <c r="I40" i="1" s="1"/>
  <c r="Q115" i="3"/>
  <c r="J40" i="1" s="1"/>
  <c r="R115" i="3"/>
  <c r="K40" i="1" s="1"/>
  <c r="S115" i="3"/>
  <c r="L40" i="1" s="1"/>
  <c r="T115" i="3"/>
  <c r="M40" i="1" s="1"/>
  <c r="U115" i="3"/>
  <c r="N40" i="1" s="1"/>
  <c r="V115" i="3"/>
  <c r="O40" i="1" s="1"/>
  <c r="W115" i="3"/>
  <c r="M101" i="3"/>
  <c r="F39" i="1" s="1"/>
  <c r="N101" i="3"/>
  <c r="G39" i="1" s="1"/>
  <c r="O101" i="3"/>
  <c r="H39" i="1" s="1"/>
  <c r="P101" i="3"/>
  <c r="I39" i="1" s="1"/>
  <c r="Q101" i="3"/>
  <c r="J39" i="1" s="1"/>
  <c r="R101" i="3"/>
  <c r="K39" i="1" s="1"/>
  <c r="S101" i="3"/>
  <c r="L39" i="1" s="1"/>
  <c r="T101" i="3"/>
  <c r="M39" i="1" s="1"/>
  <c r="U101" i="3"/>
  <c r="N39" i="1" s="1"/>
  <c r="V101" i="3"/>
  <c r="O39" i="1" s="1"/>
  <c r="W101" i="3"/>
  <c r="P39" i="1" s="1"/>
  <c r="M89" i="3"/>
  <c r="F38" i="1" s="1"/>
  <c r="N89" i="3"/>
  <c r="G38" i="1" s="1"/>
  <c r="O89" i="3"/>
  <c r="H38" i="1" s="1"/>
  <c r="P89" i="3"/>
  <c r="I38" i="1" s="1"/>
  <c r="Q89" i="3"/>
  <c r="J38" i="1" s="1"/>
  <c r="R89" i="3"/>
  <c r="K38" i="1" s="1"/>
  <c r="S89" i="3"/>
  <c r="L38" i="1" s="1"/>
  <c r="T89" i="3"/>
  <c r="M38" i="1" s="1"/>
  <c r="U89" i="3"/>
  <c r="N38" i="1" s="1"/>
  <c r="V89" i="3"/>
  <c r="O38" i="1" s="1"/>
  <c r="W89" i="3"/>
  <c r="P38" i="1" s="1"/>
  <c r="M83" i="3"/>
  <c r="F37" i="1" s="1"/>
  <c r="N83" i="3"/>
  <c r="G37" i="1" s="1"/>
  <c r="O83" i="3"/>
  <c r="H37" i="1" s="1"/>
  <c r="P83" i="3"/>
  <c r="I37" i="1" s="1"/>
  <c r="Q83" i="3"/>
  <c r="J37" i="1" s="1"/>
  <c r="R83" i="3"/>
  <c r="K37" i="1" s="1"/>
  <c r="S83" i="3"/>
  <c r="L37" i="1" s="1"/>
  <c r="T83" i="3"/>
  <c r="M37" i="1" s="1"/>
  <c r="U83" i="3"/>
  <c r="N37" i="1" s="1"/>
  <c r="V83" i="3"/>
  <c r="O37" i="1" s="1"/>
  <c r="W83" i="3"/>
  <c r="P37" i="1" s="1"/>
  <c r="M54" i="3"/>
  <c r="F35" i="1" s="1"/>
  <c r="N54" i="3"/>
  <c r="G35" i="1" s="1"/>
  <c r="O54" i="3"/>
  <c r="H35" i="1" s="1"/>
  <c r="P54" i="3"/>
  <c r="I35" i="1" s="1"/>
  <c r="Q54" i="3"/>
  <c r="J35" i="1" s="1"/>
  <c r="R54" i="3"/>
  <c r="K35" i="1" s="1"/>
  <c r="S54" i="3"/>
  <c r="L35" i="1" s="1"/>
  <c r="T54" i="3"/>
  <c r="M35" i="1" s="1"/>
  <c r="U54" i="3"/>
  <c r="N35" i="1" s="1"/>
  <c r="V54" i="3"/>
  <c r="O35" i="1" s="1"/>
  <c r="W54" i="3"/>
  <c r="P35" i="1" s="1"/>
  <c r="M67" i="3"/>
  <c r="F36" i="1" s="1"/>
  <c r="U36" i="1" s="1"/>
  <c r="N67" i="3"/>
  <c r="G36" i="1" s="1"/>
  <c r="O67" i="3"/>
  <c r="H36" i="1" s="1"/>
  <c r="P67" i="3"/>
  <c r="I36" i="1" s="1"/>
  <c r="Q67" i="3"/>
  <c r="J36" i="1" s="1"/>
  <c r="R67" i="3"/>
  <c r="K36" i="1" s="1"/>
  <c r="S67" i="3"/>
  <c r="L36" i="1" s="1"/>
  <c r="K62" i="3"/>
  <c r="U67" i="3"/>
  <c r="N36" i="1" s="1"/>
  <c r="V67" i="3"/>
  <c r="O36" i="1" s="1"/>
  <c r="W67" i="3"/>
  <c r="P36" i="1" s="1"/>
  <c r="T67" i="3"/>
  <c r="M36" i="1" s="1"/>
  <c r="V13" i="3"/>
  <c r="O31" i="1" s="1"/>
  <c r="M13" i="3"/>
  <c r="F31" i="1" s="1"/>
  <c r="N13" i="3"/>
  <c r="G31" i="1" s="1"/>
  <c r="O13" i="3"/>
  <c r="H31" i="1" s="1"/>
  <c r="P13" i="3"/>
  <c r="I31" i="1" s="1"/>
  <c r="Q13" i="3"/>
  <c r="J31" i="1" s="1"/>
  <c r="R13" i="3"/>
  <c r="K31" i="1" s="1"/>
  <c r="S13" i="3"/>
  <c r="L31" i="1" s="1"/>
  <c r="T13" i="3"/>
  <c r="M31" i="1" s="1"/>
  <c r="U13" i="3"/>
  <c r="N31" i="1" s="1"/>
  <c r="W13" i="3"/>
  <c r="U59" i="1" l="1"/>
  <c r="U43" i="1"/>
  <c r="U38" i="1"/>
  <c r="U44" i="1"/>
  <c r="U35" i="1"/>
  <c r="U40" i="1"/>
  <c r="U37" i="1"/>
  <c r="U47" i="1"/>
  <c r="L148" i="3"/>
  <c r="E50" i="1" s="1"/>
  <c r="E31" i="1"/>
  <c r="U31" i="1" s="1"/>
  <c r="U61" i="1"/>
  <c r="N141" i="3"/>
  <c r="G45" i="1"/>
  <c r="U45" i="1" s="1"/>
  <c r="M163" i="3"/>
  <c r="F60" i="1"/>
  <c r="U60" i="1" s="1"/>
  <c r="S141" i="3"/>
  <c r="U39" i="1"/>
  <c r="M141" i="3"/>
  <c r="N163" i="3"/>
  <c r="R141" i="3"/>
  <c r="S148" i="3"/>
  <c r="L50" i="1" s="1"/>
  <c r="P141" i="3"/>
  <c r="L141" i="3"/>
  <c r="R148" i="3"/>
  <c r="K50" i="1" s="1"/>
  <c r="U148" i="3"/>
  <c r="N50" i="1" s="1"/>
  <c r="P40" i="1"/>
  <c r="L163" i="3"/>
  <c r="P31" i="1"/>
  <c r="W148" i="3"/>
  <c r="O141" i="3"/>
  <c r="V163" i="3"/>
  <c r="U141" i="3"/>
  <c r="P148" i="3"/>
  <c r="I50" i="1" s="1"/>
  <c r="O148" i="3"/>
  <c r="H50" i="1" s="1"/>
  <c r="T148" i="3"/>
  <c r="M50" i="1" s="1"/>
  <c r="M148" i="3"/>
  <c r="F50" i="1" s="1"/>
  <c r="R163" i="3"/>
  <c r="Q148" i="3"/>
  <c r="J50" i="1" s="1"/>
  <c r="V148" i="3"/>
  <c r="O50" i="1" s="1"/>
  <c r="N148" i="3"/>
  <c r="G50" i="1" s="1"/>
  <c r="S163" i="3"/>
  <c r="Q141" i="3"/>
  <c r="O163" i="3"/>
  <c r="Q163" i="3"/>
  <c r="P163" i="3"/>
  <c r="T141" i="3"/>
  <c r="P59" i="1"/>
  <c r="W163" i="3"/>
  <c r="T163" i="3"/>
  <c r="U163" i="3"/>
  <c r="W141" i="3"/>
  <c r="V141" i="3"/>
  <c r="U50" i="1" l="1"/>
  <c r="P50" i="1"/>
  <c r="V425" i="4"/>
  <c r="U425" i="4"/>
  <c r="T425" i="4"/>
  <c r="S425" i="4"/>
  <c r="R425" i="4"/>
  <c r="Q425" i="4"/>
  <c r="P425" i="4"/>
  <c r="O425" i="4"/>
  <c r="N425" i="4"/>
  <c r="M425" i="4"/>
  <c r="L425" i="4"/>
  <c r="K425" i="4"/>
  <c r="V424" i="4"/>
  <c r="U424" i="4"/>
  <c r="T424" i="4"/>
  <c r="S424" i="4"/>
  <c r="R424" i="4"/>
  <c r="Q424" i="4"/>
  <c r="P424" i="4"/>
  <c r="O424" i="4"/>
  <c r="N424" i="4"/>
  <c r="M424" i="4"/>
  <c r="L424" i="4"/>
  <c r="K424" i="4"/>
  <c r="V423" i="4"/>
  <c r="U423" i="4"/>
  <c r="T423" i="4"/>
  <c r="T427" i="4" s="1"/>
  <c r="N112" i="1" s="1"/>
  <c r="S423" i="4"/>
  <c r="R423" i="4"/>
  <c r="Q423" i="4"/>
  <c r="P423" i="4"/>
  <c r="O423" i="4"/>
  <c r="N423" i="4"/>
  <c r="M423" i="4"/>
  <c r="L423" i="4"/>
  <c r="K423" i="4"/>
  <c r="V422" i="4"/>
  <c r="U422" i="4"/>
  <c r="T422" i="4"/>
  <c r="S422" i="4"/>
  <c r="R422" i="4"/>
  <c r="Q422" i="4"/>
  <c r="P422" i="4"/>
  <c r="O422" i="4"/>
  <c r="N422" i="4"/>
  <c r="M422" i="4"/>
  <c r="L422" i="4"/>
  <c r="K422" i="4"/>
  <c r="V421" i="4"/>
  <c r="U421" i="4"/>
  <c r="T421" i="4"/>
  <c r="S421" i="4"/>
  <c r="R421" i="4"/>
  <c r="Q421" i="4"/>
  <c r="P421" i="4"/>
  <c r="O421" i="4"/>
  <c r="N421" i="4"/>
  <c r="M421" i="4"/>
  <c r="L421" i="4"/>
  <c r="L427" i="4" s="1"/>
  <c r="F112" i="1" s="1"/>
  <c r="K421" i="4"/>
  <c r="V416" i="4"/>
  <c r="U416" i="4"/>
  <c r="T416" i="4"/>
  <c r="S416" i="4"/>
  <c r="R416" i="4"/>
  <c r="Q416" i="4"/>
  <c r="P416" i="4"/>
  <c r="O416" i="4"/>
  <c r="N416" i="4"/>
  <c r="M416" i="4"/>
  <c r="L416" i="4"/>
  <c r="K416" i="4"/>
  <c r="V415" i="4"/>
  <c r="U415" i="4"/>
  <c r="T415" i="4"/>
  <c r="S415" i="4"/>
  <c r="R415" i="4"/>
  <c r="Q415" i="4"/>
  <c r="P415" i="4"/>
  <c r="O415" i="4"/>
  <c r="N415" i="4"/>
  <c r="M415" i="4"/>
  <c r="L415" i="4"/>
  <c r="K415" i="4"/>
  <c r="V414" i="4"/>
  <c r="U414" i="4"/>
  <c r="T414" i="4"/>
  <c r="S414" i="4"/>
  <c r="R414" i="4"/>
  <c r="Q414" i="4"/>
  <c r="P414" i="4"/>
  <c r="O414" i="4"/>
  <c r="N414" i="4"/>
  <c r="M414" i="4"/>
  <c r="L414" i="4"/>
  <c r="K414" i="4"/>
  <c r="V413" i="4"/>
  <c r="U413" i="4"/>
  <c r="T413" i="4"/>
  <c r="S413" i="4"/>
  <c r="R413" i="4"/>
  <c r="Q413" i="4"/>
  <c r="P413" i="4"/>
  <c r="O413" i="4"/>
  <c r="N413" i="4"/>
  <c r="M413" i="4"/>
  <c r="L413" i="4"/>
  <c r="K413" i="4"/>
  <c r="V412" i="4"/>
  <c r="U412" i="4"/>
  <c r="T412" i="4"/>
  <c r="S412" i="4"/>
  <c r="R412" i="4"/>
  <c r="Q412" i="4"/>
  <c r="P412" i="4"/>
  <c r="O412" i="4"/>
  <c r="N412" i="4"/>
  <c r="M412" i="4"/>
  <c r="L412" i="4"/>
  <c r="K412" i="4"/>
  <c r="M427" i="4" l="1"/>
  <c r="G112" i="1" s="1"/>
  <c r="V418" i="4"/>
  <c r="P111" i="1" s="1"/>
  <c r="N427" i="4"/>
  <c r="H112" i="1" s="1"/>
  <c r="R427" i="4"/>
  <c r="L112" i="1" s="1"/>
  <c r="V427" i="4"/>
  <c r="P112" i="1" s="1"/>
  <c r="K418" i="4"/>
  <c r="E111" i="1" s="1"/>
  <c r="O427" i="4"/>
  <c r="I112" i="1" s="1"/>
  <c r="P427" i="4"/>
  <c r="J112" i="1" s="1"/>
  <c r="Q427" i="4"/>
  <c r="K112" i="1" s="1"/>
  <c r="N418" i="4"/>
  <c r="H111" i="1" s="1"/>
  <c r="O418" i="4"/>
  <c r="I111" i="1" s="1"/>
  <c r="P418" i="4"/>
  <c r="J111" i="1" s="1"/>
  <c r="Q418" i="4"/>
  <c r="K111" i="1" s="1"/>
  <c r="R418" i="4"/>
  <c r="L111" i="1" s="1"/>
  <c r="L113" i="1" s="1"/>
  <c r="S418" i="4"/>
  <c r="M111" i="1" s="1"/>
  <c r="W414" i="4"/>
  <c r="T418" i="4"/>
  <c r="N111" i="1" s="1"/>
  <c r="N113" i="1" s="1"/>
  <c r="L418" i="4"/>
  <c r="F111" i="1" s="1"/>
  <c r="F113" i="1" s="1"/>
  <c r="W423" i="4"/>
  <c r="U418" i="4"/>
  <c r="O111" i="1" s="1"/>
  <c r="M418" i="4"/>
  <c r="G111" i="1" s="1"/>
  <c r="U427" i="4"/>
  <c r="O112" i="1" s="1"/>
  <c r="K427" i="4"/>
  <c r="E112" i="1" s="1"/>
  <c r="S427" i="4"/>
  <c r="M112" i="1" s="1"/>
  <c r="W425" i="4"/>
  <c r="W413" i="4"/>
  <c r="W424" i="4"/>
  <c r="W421" i="4"/>
  <c r="W416" i="4"/>
  <c r="W415" i="4"/>
  <c r="W422" i="4"/>
  <c r="W412" i="4"/>
  <c r="P105" i="1"/>
  <c r="P102" i="1"/>
  <c r="P99" i="1"/>
  <c r="P100" i="1"/>
  <c r="P97" i="1"/>
  <c r="P96" i="1"/>
  <c r="P98" i="1"/>
  <c r="P93" i="1"/>
  <c r="P92" i="1"/>
  <c r="H113" i="1" l="1"/>
  <c r="I113" i="1"/>
  <c r="K113" i="1"/>
  <c r="J113" i="1"/>
  <c r="M113" i="1"/>
  <c r="E113" i="1"/>
  <c r="U111" i="1"/>
  <c r="O113" i="1"/>
  <c r="U112" i="1"/>
  <c r="G113" i="1"/>
  <c r="S93" i="1"/>
  <c r="W427" i="4"/>
  <c r="W418" i="4"/>
  <c r="P90" i="1"/>
  <c r="P91" i="1"/>
  <c r="P88" i="1"/>
  <c r="P86" i="1"/>
  <c r="P78" i="1"/>
  <c r="P82" i="1"/>
  <c r="P79" i="1"/>
  <c r="P77" i="1"/>
  <c r="R107" i="4"/>
  <c r="L70" i="1" s="1"/>
  <c r="L34" i="4"/>
  <c r="F66" i="1" s="1"/>
  <c r="V71" i="4"/>
  <c r="U71" i="4"/>
  <c r="T71" i="4"/>
  <c r="S71" i="4"/>
  <c r="R71" i="4"/>
  <c r="Q71" i="4"/>
  <c r="P71" i="4"/>
  <c r="O71" i="4"/>
  <c r="N71" i="4"/>
  <c r="M71" i="4"/>
  <c r="L71" i="4"/>
  <c r="K71" i="4"/>
  <c r="W116" i="4" l="1"/>
  <c r="W123" i="4"/>
  <c r="H113" i="4"/>
  <c r="W113" i="4"/>
  <c r="W115" i="4"/>
  <c r="W122" i="4"/>
  <c r="H122" i="4"/>
  <c r="H125" i="4" s="1"/>
  <c r="H86" i="4"/>
  <c r="K107" i="4"/>
  <c r="E70" i="1" s="1"/>
  <c r="H32" i="4"/>
  <c r="H17" i="4"/>
  <c r="L19" i="4"/>
  <c r="F64" i="1" s="1"/>
  <c r="M19" i="4"/>
  <c r="G64" i="1" s="1"/>
  <c r="K19" i="4"/>
  <c r="E64" i="1" s="1"/>
  <c r="N19" i="4"/>
  <c r="H64" i="1" s="1"/>
  <c r="O19" i="4"/>
  <c r="I64" i="1" s="1"/>
  <c r="P19" i="4"/>
  <c r="J64" i="1" s="1"/>
  <c r="Q19" i="4"/>
  <c r="K64" i="1" s="1"/>
  <c r="R19" i="4"/>
  <c r="L64" i="1" s="1"/>
  <c r="S19" i="4"/>
  <c r="M64" i="1" s="1"/>
  <c r="T19" i="4"/>
  <c r="N64" i="1" s="1"/>
  <c r="U19" i="4"/>
  <c r="O64" i="1" s="1"/>
  <c r="V19" i="4"/>
  <c r="P64" i="1" s="1"/>
  <c r="P125" i="4"/>
  <c r="J72" i="1" s="1"/>
  <c r="M34" i="4"/>
  <c r="G66" i="1" s="1"/>
  <c r="L125" i="4"/>
  <c r="F72" i="1" s="1"/>
  <c r="M118" i="4"/>
  <c r="G71" i="1" s="1"/>
  <c r="K125" i="4"/>
  <c r="E72" i="1" s="1"/>
  <c r="M125" i="4"/>
  <c r="G72" i="1" s="1"/>
  <c r="N125" i="4"/>
  <c r="H72" i="1" s="1"/>
  <c r="R125" i="4"/>
  <c r="L72" i="1" s="1"/>
  <c r="V125" i="4"/>
  <c r="P72" i="1" s="1"/>
  <c r="O125" i="4"/>
  <c r="I72" i="1" s="1"/>
  <c r="S125" i="4"/>
  <c r="M72" i="1" s="1"/>
  <c r="N118" i="4"/>
  <c r="H71" i="1" s="1"/>
  <c r="U125" i="4"/>
  <c r="O72" i="1" s="1"/>
  <c r="Q125" i="4"/>
  <c r="K72" i="1" s="1"/>
  <c r="T125" i="4"/>
  <c r="N72" i="1" s="1"/>
  <c r="T118" i="4"/>
  <c r="N71" i="1" s="1"/>
  <c r="U118" i="4"/>
  <c r="O71" i="1" s="1"/>
  <c r="S118" i="4"/>
  <c r="M71" i="1" s="1"/>
  <c r="O118" i="4"/>
  <c r="I71" i="1" s="1"/>
  <c r="L118" i="4"/>
  <c r="F71" i="1" s="1"/>
  <c r="V118" i="4"/>
  <c r="P71" i="1" s="1"/>
  <c r="P118" i="4"/>
  <c r="J71" i="1" s="1"/>
  <c r="Q118" i="4"/>
  <c r="K71" i="1" s="1"/>
  <c r="R118" i="4"/>
  <c r="L71" i="1" s="1"/>
  <c r="K118" i="4"/>
  <c r="E71" i="1" s="1"/>
  <c r="V74" i="4"/>
  <c r="V34" i="4"/>
  <c r="P66" i="1" s="1"/>
  <c r="U107" i="4"/>
  <c r="O70" i="1" s="1"/>
  <c r="M107" i="4"/>
  <c r="G70" i="1" s="1"/>
  <c r="Q34" i="4"/>
  <c r="K66" i="1" s="1"/>
  <c r="Q107" i="4"/>
  <c r="K70" i="1" s="1"/>
  <c r="N55" i="4"/>
  <c r="H67" i="1" s="1"/>
  <c r="N28" i="4"/>
  <c r="H65" i="1" s="1"/>
  <c r="V107" i="4"/>
  <c r="P70" i="1" s="1"/>
  <c r="W94" i="4"/>
  <c r="T107" i="4"/>
  <c r="N70" i="1" s="1"/>
  <c r="L107" i="4"/>
  <c r="F70" i="1" s="1"/>
  <c r="N107" i="4"/>
  <c r="H70" i="1" s="1"/>
  <c r="W86" i="4"/>
  <c r="O107" i="4"/>
  <c r="I70" i="1" s="1"/>
  <c r="P107" i="4"/>
  <c r="J70" i="1" s="1"/>
  <c r="S107" i="4"/>
  <c r="M70" i="1" s="1"/>
  <c r="L74" i="4"/>
  <c r="T55" i="4"/>
  <c r="N67" i="1" s="1"/>
  <c r="P34" i="4"/>
  <c r="J66" i="1" s="1"/>
  <c r="T28" i="4"/>
  <c r="N65" i="1" s="1"/>
  <c r="L28" i="4"/>
  <c r="F65" i="1" s="1"/>
  <c r="W97" i="4"/>
  <c r="W105" i="4"/>
  <c r="W93" i="4"/>
  <c r="W100" i="4"/>
  <c r="V55" i="4"/>
  <c r="P67" i="1" s="1"/>
  <c r="O74" i="4"/>
  <c r="O34" i="4"/>
  <c r="I66" i="1" s="1"/>
  <c r="W85" i="4"/>
  <c r="W90" i="4"/>
  <c r="W96" i="4"/>
  <c r="W104" i="4"/>
  <c r="T74" i="4"/>
  <c r="T34" i="4"/>
  <c r="N66" i="1" s="1"/>
  <c r="W89" i="4"/>
  <c r="W99" i="4"/>
  <c r="W95" i="4"/>
  <c r="W87" i="4"/>
  <c r="W98" i="4"/>
  <c r="W101" i="4"/>
  <c r="W84" i="4"/>
  <c r="R55" i="4"/>
  <c r="L67" i="1" s="1"/>
  <c r="O55" i="4"/>
  <c r="I67" i="1" s="1"/>
  <c r="O28" i="4"/>
  <c r="I65" i="1" s="1"/>
  <c r="M74" i="4"/>
  <c r="N34" i="4"/>
  <c r="H66" i="1" s="1"/>
  <c r="V28" i="4"/>
  <c r="P65" i="1" s="1"/>
  <c r="R74" i="4"/>
  <c r="R34" i="4"/>
  <c r="L66" i="1" s="1"/>
  <c r="S74" i="4"/>
  <c r="S34" i="4"/>
  <c r="M66" i="1" s="1"/>
  <c r="U74" i="4"/>
  <c r="U34" i="4"/>
  <c r="O66" i="1" s="1"/>
  <c r="M28" i="4"/>
  <c r="G65" i="1" s="1"/>
  <c r="W15" i="4"/>
  <c r="P28" i="4"/>
  <c r="J65" i="1" s="1"/>
  <c r="Q55" i="4"/>
  <c r="K67" i="1" s="1"/>
  <c r="U55" i="4"/>
  <c r="O67" i="1" s="1"/>
  <c r="Q28" i="4"/>
  <c r="K65" i="1" s="1"/>
  <c r="U28" i="4"/>
  <c r="O65" i="1" s="1"/>
  <c r="N74" i="4"/>
  <c r="R28" i="4"/>
  <c r="L65" i="1" s="1"/>
  <c r="K74" i="4"/>
  <c r="S55" i="4"/>
  <c r="M67" i="1" s="1"/>
  <c r="K34" i="4"/>
  <c r="E66" i="1" s="1"/>
  <c r="S28" i="4"/>
  <c r="M65" i="1" s="1"/>
  <c r="W10" i="4"/>
  <c r="W17" i="4"/>
  <c r="Q74" i="4"/>
  <c r="P74" i="4"/>
  <c r="W69" i="4"/>
  <c r="W25" i="4"/>
  <c r="W16" i="4"/>
  <c r="W22" i="4"/>
  <c r="W14" i="4"/>
  <c r="K28" i="4"/>
  <c r="E65" i="1" s="1"/>
  <c r="W62" i="4"/>
  <c r="W66" i="4"/>
  <c r="W71" i="4"/>
  <c r="W32" i="4"/>
  <c r="W26" i="4"/>
  <c r="W61" i="4"/>
  <c r="W65" i="4"/>
  <c r="W79" i="4"/>
  <c r="W64" i="4"/>
  <c r="W68" i="4"/>
  <c r="W78" i="4"/>
  <c r="W63" i="4"/>
  <c r="W67" i="4"/>
  <c r="W77" i="4"/>
  <c r="P87" i="1"/>
  <c r="P76" i="1"/>
  <c r="W74" i="4" l="1"/>
  <c r="W81" i="4"/>
  <c r="K81" i="4"/>
  <c r="E69" i="1" s="1"/>
  <c r="E68" i="1"/>
  <c r="O81" i="4"/>
  <c r="I69" i="1" s="1"/>
  <c r="I68" i="1"/>
  <c r="N81" i="4"/>
  <c r="H69" i="1" s="1"/>
  <c r="H68" i="1"/>
  <c r="M81" i="4"/>
  <c r="G69" i="1" s="1"/>
  <c r="G68" i="1"/>
  <c r="P81" i="4"/>
  <c r="J69" i="1" s="1"/>
  <c r="J68" i="1"/>
  <c r="U81" i="4"/>
  <c r="O69" i="1" s="1"/>
  <c r="O68" i="1"/>
  <c r="T81" i="4"/>
  <c r="N69" i="1" s="1"/>
  <c r="N68" i="1"/>
  <c r="Q81" i="4"/>
  <c r="K69" i="1" s="1"/>
  <c r="K68" i="1"/>
  <c r="S81" i="4"/>
  <c r="M69" i="1" s="1"/>
  <c r="M68" i="1"/>
  <c r="R81" i="4"/>
  <c r="L69" i="1" s="1"/>
  <c r="L68" i="1"/>
  <c r="V81" i="4"/>
  <c r="P69" i="1" s="1"/>
  <c r="P68" i="1"/>
  <c r="L81" i="4"/>
  <c r="F69" i="1" s="1"/>
  <c r="F68" i="1"/>
  <c r="U70" i="1"/>
  <c r="U71" i="1"/>
  <c r="U72" i="1"/>
  <c r="W107" i="4"/>
  <c r="W19" i="4"/>
  <c r="W125" i="4"/>
  <c r="X125" i="4" s="1"/>
  <c r="W118" i="4"/>
  <c r="W28" i="4"/>
  <c r="W34" i="4"/>
  <c r="P157" i="23" l="1"/>
  <c r="O157" i="23"/>
  <c r="N157" i="23"/>
  <c r="M157" i="23"/>
  <c r="L157" i="23"/>
  <c r="K157" i="23"/>
  <c r="J157" i="23"/>
  <c r="I157" i="23"/>
  <c r="H157" i="23"/>
  <c r="G157" i="23"/>
  <c r="F157" i="23"/>
  <c r="E157" i="23"/>
  <c r="P156" i="23"/>
  <c r="O156" i="23"/>
  <c r="N156" i="23"/>
  <c r="M156" i="23"/>
  <c r="L156" i="23"/>
  <c r="K156" i="23"/>
  <c r="J156" i="23"/>
  <c r="I156" i="23"/>
  <c r="H156" i="23"/>
  <c r="G156" i="23"/>
  <c r="F156" i="23"/>
  <c r="E156" i="23"/>
  <c r="P155" i="23"/>
  <c r="O155" i="23"/>
  <c r="N155" i="23"/>
  <c r="M155" i="23"/>
  <c r="L155" i="23"/>
  <c r="K155" i="23"/>
  <c r="J155" i="23"/>
  <c r="I155" i="23"/>
  <c r="H155" i="23"/>
  <c r="G155" i="23"/>
  <c r="F155" i="23"/>
  <c r="E155" i="23"/>
  <c r="P154" i="23"/>
  <c r="O154" i="23"/>
  <c r="N154" i="23"/>
  <c r="M154" i="23"/>
  <c r="L154" i="23"/>
  <c r="K154" i="23"/>
  <c r="J154" i="23"/>
  <c r="I154" i="23"/>
  <c r="H154" i="23"/>
  <c r="G154" i="23"/>
  <c r="F154" i="23"/>
  <c r="E154" i="23"/>
  <c r="P153" i="23"/>
  <c r="O153" i="23"/>
  <c r="N153" i="23"/>
  <c r="M153" i="23"/>
  <c r="L153" i="23"/>
  <c r="K153" i="23"/>
  <c r="J153" i="23"/>
  <c r="I153" i="23"/>
  <c r="H153" i="23"/>
  <c r="G153" i="23"/>
  <c r="F153" i="23"/>
  <c r="E153" i="23"/>
  <c r="P152" i="23"/>
  <c r="O152" i="23"/>
  <c r="N152" i="23"/>
  <c r="M152" i="23"/>
  <c r="L152" i="23"/>
  <c r="K152" i="23"/>
  <c r="J152" i="23"/>
  <c r="I152" i="23"/>
  <c r="H152" i="23"/>
  <c r="G152" i="23"/>
  <c r="F152" i="23"/>
  <c r="E152" i="23"/>
  <c r="P151" i="23"/>
  <c r="O151" i="23"/>
  <c r="N151" i="23"/>
  <c r="M151" i="23"/>
  <c r="L151" i="23"/>
  <c r="K151" i="23"/>
  <c r="J151" i="23"/>
  <c r="I151" i="23"/>
  <c r="H151" i="23"/>
  <c r="G151" i="23"/>
  <c r="F151" i="23"/>
  <c r="E151" i="23"/>
  <c r="P150" i="23"/>
  <c r="O150" i="23"/>
  <c r="N150" i="23"/>
  <c r="M150" i="23"/>
  <c r="L150" i="23"/>
  <c r="K150" i="23"/>
  <c r="J150" i="23"/>
  <c r="I150" i="23"/>
  <c r="H150" i="23"/>
  <c r="G150" i="23"/>
  <c r="F150" i="23"/>
  <c r="E150" i="23"/>
  <c r="P149" i="23"/>
  <c r="O149" i="23"/>
  <c r="N149" i="23"/>
  <c r="M149" i="23"/>
  <c r="L149" i="23"/>
  <c r="K149" i="23"/>
  <c r="J149" i="23"/>
  <c r="I149" i="23"/>
  <c r="H149" i="23"/>
  <c r="G149" i="23"/>
  <c r="F149" i="23"/>
  <c r="E149" i="23"/>
  <c r="P148" i="23"/>
  <c r="O148" i="23"/>
  <c r="N148" i="23"/>
  <c r="M148" i="23"/>
  <c r="L148" i="23"/>
  <c r="K148" i="23"/>
  <c r="J148" i="23"/>
  <c r="I148" i="23"/>
  <c r="H148" i="23"/>
  <c r="G148" i="23"/>
  <c r="F148" i="23"/>
  <c r="E148" i="23"/>
  <c r="P147" i="23"/>
  <c r="O147" i="23"/>
  <c r="N147" i="23"/>
  <c r="M147" i="23"/>
  <c r="L147" i="23"/>
  <c r="K147" i="23"/>
  <c r="J147" i="23"/>
  <c r="I147" i="23"/>
  <c r="H147" i="23"/>
  <c r="G147" i="23"/>
  <c r="F147" i="23"/>
  <c r="E147" i="23"/>
  <c r="P146" i="23"/>
  <c r="O146" i="23"/>
  <c r="N146" i="23"/>
  <c r="M146" i="23"/>
  <c r="L146" i="23"/>
  <c r="K146" i="23"/>
  <c r="J146" i="23"/>
  <c r="I146" i="23"/>
  <c r="H146" i="23"/>
  <c r="G146" i="23"/>
  <c r="G160" i="23" s="1"/>
  <c r="F146" i="23"/>
  <c r="E146" i="23"/>
  <c r="E139" i="23"/>
  <c r="Q113" i="23"/>
  <c r="P112" i="23"/>
  <c r="O112" i="23"/>
  <c r="N112" i="23"/>
  <c r="M112" i="23"/>
  <c r="L112" i="23"/>
  <c r="K112" i="23"/>
  <c r="J112" i="23"/>
  <c r="I112" i="23"/>
  <c r="H112" i="23"/>
  <c r="G112" i="23"/>
  <c r="F112" i="23"/>
  <c r="F113" i="23" s="1"/>
  <c r="E112" i="23"/>
  <c r="U112" i="23" s="1"/>
  <c r="P111" i="23"/>
  <c r="O111" i="23"/>
  <c r="O113" i="23" s="1"/>
  <c r="N111" i="23"/>
  <c r="M111" i="23"/>
  <c r="L111" i="23"/>
  <c r="K111" i="23"/>
  <c r="J111" i="23"/>
  <c r="I111" i="23"/>
  <c r="H111" i="23"/>
  <c r="G111" i="23"/>
  <c r="F111" i="23"/>
  <c r="E111" i="23"/>
  <c r="Q109" i="23"/>
  <c r="I109" i="23"/>
  <c r="H109" i="23"/>
  <c r="P108" i="23"/>
  <c r="P109" i="23" s="1"/>
  <c r="O108" i="23"/>
  <c r="O109" i="23" s="1"/>
  <c r="N108" i="23"/>
  <c r="N109" i="23" s="1"/>
  <c r="M108" i="23"/>
  <c r="M109" i="23" s="1"/>
  <c r="L108" i="23"/>
  <c r="L109" i="23" s="1"/>
  <c r="K108" i="23"/>
  <c r="K109" i="23" s="1"/>
  <c r="J108" i="23"/>
  <c r="J109" i="23" s="1"/>
  <c r="I108" i="23"/>
  <c r="H108" i="23"/>
  <c r="G108" i="23"/>
  <c r="G109" i="23" s="1"/>
  <c r="F108" i="23"/>
  <c r="F109" i="23" s="1"/>
  <c r="E108" i="23"/>
  <c r="Q106" i="23"/>
  <c r="J106" i="23"/>
  <c r="P105" i="23"/>
  <c r="P106" i="23" s="1"/>
  <c r="O105" i="23"/>
  <c r="O106" i="23" s="1"/>
  <c r="N105" i="23"/>
  <c r="N106" i="23" s="1"/>
  <c r="M105" i="23"/>
  <c r="M106" i="23" s="1"/>
  <c r="L105" i="23"/>
  <c r="L106" i="23" s="1"/>
  <c r="K105" i="23"/>
  <c r="K106" i="23" s="1"/>
  <c r="J105" i="23"/>
  <c r="I105" i="23"/>
  <c r="I106" i="23" s="1"/>
  <c r="H105" i="23"/>
  <c r="H106" i="23" s="1"/>
  <c r="G105" i="23"/>
  <c r="G106" i="23" s="1"/>
  <c r="F105" i="23"/>
  <c r="F106" i="23" s="1"/>
  <c r="E105" i="23"/>
  <c r="Q103" i="23"/>
  <c r="P102" i="23"/>
  <c r="O102" i="23"/>
  <c r="N102" i="23"/>
  <c r="M102" i="23"/>
  <c r="L102" i="23"/>
  <c r="K102" i="23"/>
  <c r="J102" i="23"/>
  <c r="I102" i="23"/>
  <c r="H102" i="23"/>
  <c r="G102" i="23"/>
  <c r="F102" i="23"/>
  <c r="E102" i="23"/>
  <c r="P101" i="23"/>
  <c r="O101" i="23"/>
  <c r="N101" i="23"/>
  <c r="M101" i="23"/>
  <c r="L101" i="23"/>
  <c r="K101" i="23"/>
  <c r="J101" i="23"/>
  <c r="I101" i="23"/>
  <c r="H101" i="23"/>
  <c r="G101" i="23"/>
  <c r="F101" i="23"/>
  <c r="E101" i="23"/>
  <c r="P100" i="23"/>
  <c r="O100" i="23"/>
  <c r="N100" i="23"/>
  <c r="M100" i="23"/>
  <c r="L100" i="23"/>
  <c r="K100" i="23"/>
  <c r="J100" i="23"/>
  <c r="I100" i="23"/>
  <c r="H100" i="23"/>
  <c r="G100" i="23"/>
  <c r="F100" i="23"/>
  <c r="E100" i="23"/>
  <c r="U100" i="23" s="1"/>
  <c r="P99" i="23"/>
  <c r="O99" i="23"/>
  <c r="N99" i="23"/>
  <c r="M99" i="23"/>
  <c r="L99" i="23"/>
  <c r="K99" i="23"/>
  <c r="J99" i="23"/>
  <c r="I99" i="23"/>
  <c r="H99" i="23"/>
  <c r="G99" i="23"/>
  <c r="F99" i="23"/>
  <c r="E99" i="23"/>
  <c r="P98" i="23"/>
  <c r="O98" i="23"/>
  <c r="N98" i="23"/>
  <c r="M98" i="23"/>
  <c r="L98" i="23"/>
  <c r="K98" i="23"/>
  <c r="J98" i="23"/>
  <c r="I98" i="23"/>
  <c r="H98" i="23"/>
  <c r="G98" i="23"/>
  <c r="F98" i="23"/>
  <c r="E98" i="23"/>
  <c r="P97" i="23"/>
  <c r="O97" i="23"/>
  <c r="N97" i="23"/>
  <c r="M97" i="23"/>
  <c r="L97" i="23"/>
  <c r="K97" i="23"/>
  <c r="J97" i="23"/>
  <c r="I97" i="23"/>
  <c r="H97" i="23"/>
  <c r="G97" i="23"/>
  <c r="F97" i="23"/>
  <c r="E97" i="23"/>
  <c r="P96" i="23"/>
  <c r="O96" i="23"/>
  <c r="N96" i="23"/>
  <c r="M96" i="23"/>
  <c r="L96" i="23"/>
  <c r="K96" i="23"/>
  <c r="J96" i="23"/>
  <c r="I96" i="23"/>
  <c r="H96" i="23"/>
  <c r="G96" i="23"/>
  <c r="F96" i="23"/>
  <c r="E96" i="23"/>
  <c r="U96" i="23" s="1"/>
  <c r="Q94" i="23"/>
  <c r="P93" i="23"/>
  <c r="O93" i="23"/>
  <c r="N93" i="23"/>
  <c r="M93" i="23"/>
  <c r="L93" i="23"/>
  <c r="K93" i="23"/>
  <c r="J93" i="23"/>
  <c r="I93" i="23"/>
  <c r="H93" i="23"/>
  <c r="G93" i="23"/>
  <c r="F93" i="23"/>
  <c r="E93" i="23"/>
  <c r="P92" i="23"/>
  <c r="O92" i="23"/>
  <c r="N92" i="23"/>
  <c r="M92" i="23"/>
  <c r="L92" i="23"/>
  <c r="K92" i="23"/>
  <c r="J92" i="23"/>
  <c r="I92" i="23"/>
  <c r="H92" i="23"/>
  <c r="G92" i="23"/>
  <c r="F92" i="23"/>
  <c r="E92" i="23"/>
  <c r="P91" i="23"/>
  <c r="O91" i="23"/>
  <c r="N91" i="23"/>
  <c r="M91" i="23"/>
  <c r="L91" i="23"/>
  <c r="K91" i="23"/>
  <c r="J91" i="23"/>
  <c r="I91" i="23"/>
  <c r="H91" i="23"/>
  <c r="G91" i="23"/>
  <c r="F91" i="23"/>
  <c r="E91" i="23"/>
  <c r="P90" i="23"/>
  <c r="O90" i="23"/>
  <c r="N90" i="23"/>
  <c r="M90" i="23"/>
  <c r="L90" i="23"/>
  <c r="K90" i="23"/>
  <c r="J90" i="23"/>
  <c r="I90" i="23"/>
  <c r="H90" i="23"/>
  <c r="G90" i="23"/>
  <c r="F90" i="23"/>
  <c r="E90" i="23"/>
  <c r="U90" i="23" s="1"/>
  <c r="P89" i="23"/>
  <c r="O89" i="23"/>
  <c r="N89" i="23"/>
  <c r="M89" i="23"/>
  <c r="L89" i="23"/>
  <c r="K89" i="23"/>
  <c r="J89" i="23"/>
  <c r="I89" i="23"/>
  <c r="H89" i="23"/>
  <c r="G89" i="23"/>
  <c r="F89" i="23"/>
  <c r="E89" i="23"/>
  <c r="P88" i="23"/>
  <c r="O88" i="23"/>
  <c r="N88" i="23"/>
  <c r="M88" i="23"/>
  <c r="L88" i="23"/>
  <c r="K88" i="23"/>
  <c r="J88" i="23"/>
  <c r="I88" i="23"/>
  <c r="H88" i="23"/>
  <c r="G88" i="23"/>
  <c r="F88" i="23"/>
  <c r="E88" i="23"/>
  <c r="P87" i="23"/>
  <c r="O87" i="23"/>
  <c r="N87" i="23"/>
  <c r="M87" i="23"/>
  <c r="L87" i="23"/>
  <c r="K87" i="23"/>
  <c r="J87" i="23"/>
  <c r="I87" i="23"/>
  <c r="H87" i="23"/>
  <c r="G87" i="23"/>
  <c r="F87" i="23"/>
  <c r="E87" i="23"/>
  <c r="P86" i="23"/>
  <c r="O86" i="23"/>
  <c r="N86" i="23"/>
  <c r="M86" i="23"/>
  <c r="L86" i="23"/>
  <c r="K86" i="23"/>
  <c r="J86" i="23"/>
  <c r="I86" i="23"/>
  <c r="H86" i="23"/>
  <c r="G86" i="23"/>
  <c r="F86" i="23"/>
  <c r="E86" i="23"/>
  <c r="U86" i="23" s="1"/>
  <c r="P85" i="23"/>
  <c r="O85" i="23"/>
  <c r="N85" i="23"/>
  <c r="M85" i="23"/>
  <c r="L85" i="23"/>
  <c r="K85" i="23"/>
  <c r="J85" i="23"/>
  <c r="I85" i="23"/>
  <c r="H85" i="23"/>
  <c r="G85" i="23"/>
  <c r="F85" i="23"/>
  <c r="E85" i="23"/>
  <c r="P84" i="23"/>
  <c r="O84" i="23"/>
  <c r="N84" i="23"/>
  <c r="M84" i="23"/>
  <c r="L84" i="23"/>
  <c r="K84" i="23"/>
  <c r="J84" i="23"/>
  <c r="I84" i="23"/>
  <c r="H84" i="23"/>
  <c r="G84" i="23"/>
  <c r="F84" i="23"/>
  <c r="E84" i="23"/>
  <c r="P83" i="23"/>
  <c r="O83" i="23"/>
  <c r="N83" i="23"/>
  <c r="M83" i="23"/>
  <c r="L83" i="23"/>
  <c r="K83" i="23"/>
  <c r="J83" i="23"/>
  <c r="I83" i="23"/>
  <c r="H83" i="23"/>
  <c r="G83" i="23"/>
  <c r="F83" i="23"/>
  <c r="E83" i="23"/>
  <c r="P82" i="23"/>
  <c r="O82" i="23"/>
  <c r="N82" i="23"/>
  <c r="M82" i="23"/>
  <c r="L82" i="23"/>
  <c r="K82" i="23"/>
  <c r="J82" i="23"/>
  <c r="I82" i="23"/>
  <c r="H82" i="23"/>
  <c r="G82" i="23"/>
  <c r="F82" i="23"/>
  <c r="E82" i="23"/>
  <c r="U82" i="23" s="1"/>
  <c r="Q80" i="23"/>
  <c r="P79" i="23"/>
  <c r="O79" i="23"/>
  <c r="N79" i="23"/>
  <c r="M79" i="23"/>
  <c r="L79" i="23"/>
  <c r="K79" i="23"/>
  <c r="J79" i="23"/>
  <c r="I79" i="23"/>
  <c r="H79" i="23"/>
  <c r="G79" i="23"/>
  <c r="F79" i="23"/>
  <c r="E79" i="23"/>
  <c r="P78" i="23"/>
  <c r="O78" i="23"/>
  <c r="N78" i="23"/>
  <c r="M78" i="23"/>
  <c r="L78" i="23"/>
  <c r="K78" i="23"/>
  <c r="J78" i="23"/>
  <c r="I78" i="23"/>
  <c r="H78" i="23"/>
  <c r="G78" i="23"/>
  <c r="F78" i="23"/>
  <c r="E78" i="23"/>
  <c r="P77" i="23"/>
  <c r="O77" i="23"/>
  <c r="N77" i="23"/>
  <c r="M77" i="23"/>
  <c r="L77" i="23"/>
  <c r="K77" i="23"/>
  <c r="J77" i="23"/>
  <c r="I77" i="23"/>
  <c r="H77" i="23"/>
  <c r="G77" i="23"/>
  <c r="F77" i="23"/>
  <c r="E77" i="23"/>
  <c r="P76" i="23"/>
  <c r="O76" i="23"/>
  <c r="N76" i="23"/>
  <c r="M76" i="23"/>
  <c r="L76" i="23"/>
  <c r="K76" i="23"/>
  <c r="J76" i="23"/>
  <c r="I76" i="23"/>
  <c r="H76" i="23"/>
  <c r="G76" i="23"/>
  <c r="F76" i="23"/>
  <c r="E76" i="23"/>
  <c r="Q74" i="23"/>
  <c r="P73" i="23"/>
  <c r="O73" i="23"/>
  <c r="N73" i="23"/>
  <c r="M73" i="23"/>
  <c r="L73" i="23"/>
  <c r="K73" i="23"/>
  <c r="J73" i="23"/>
  <c r="I73" i="23"/>
  <c r="H73" i="23"/>
  <c r="G73" i="23"/>
  <c r="F73" i="23"/>
  <c r="E73" i="23"/>
  <c r="P72" i="23"/>
  <c r="O72" i="23"/>
  <c r="N72" i="23"/>
  <c r="M72" i="23"/>
  <c r="L72" i="23"/>
  <c r="K72" i="23"/>
  <c r="J72" i="23"/>
  <c r="I72" i="23"/>
  <c r="H72" i="23"/>
  <c r="G72" i="23"/>
  <c r="F72" i="23"/>
  <c r="E72" i="23"/>
  <c r="P71" i="23"/>
  <c r="O71" i="23"/>
  <c r="N71" i="23"/>
  <c r="M71" i="23"/>
  <c r="L71" i="23"/>
  <c r="K71" i="23"/>
  <c r="J71" i="23"/>
  <c r="I71" i="23"/>
  <c r="H71" i="23"/>
  <c r="G71" i="23"/>
  <c r="F71" i="23"/>
  <c r="E71" i="23"/>
  <c r="P70" i="23"/>
  <c r="O70" i="23"/>
  <c r="N70" i="23"/>
  <c r="M70" i="23"/>
  <c r="L70" i="23"/>
  <c r="K70" i="23"/>
  <c r="J70" i="23"/>
  <c r="I70" i="23"/>
  <c r="H70" i="23"/>
  <c r="G70" i="23"/>
  <c r="F70" i="23"/>
  <c r="E70" i="23"/>
  <c r="P69" i="23"/>
  <c r="O69" i="23"/>
  <c r="N69" i="23"/>
  <c r="M69" i="23"/>
  <c r="L69" i="23"/>
  <c r="K69" i="23"/>
  <c r="J69" i="23"/>
  <c r="I69" i="23"/>
  <c r="H69" i="23"/>
  <c r="G69" i="23"/>
  <c r="F69" i="23"/>
  <c r="E69" i="23"/>
  <c r="U69" i="23" s="1"/>
  <c r="P68" i="23"/>
  <c r="O68" i="23"/>
  <c r="N68" i="23"/>
  <c r="M68" i="23"/>
  <c r="L68" i="23"/>
  <c r="K68" i="23"/>
  <c r="J68" i="23"/>
  <c r="I68" i="23"/>
  <c r="H68" i="23"/>
  <c r="G68" i="23"/>
  <c r="F68" i="23"/>
  <c r="E68" i="23"/>
  <c r="P67" i="23"/>
  <c r="O67" i="23"/>
  <c r="N67" i="23"/>
  <c r="M67" i="23"/>
  <c r="L67" i="23"/>
  <c r="K67" i="23"/>
  <c r="J67" i="23"/>
  <c r="I67" i="23"/>
  <c r="H67" i="23"/>
  <c r="G67" i="23"/>
  <c r="F67" i="23"/>
  <c r="E67" i="23"/>
  <c r="P66" i="23"/>
  <c r="O66" i="23"/>
  <c r="N66" i="23"/>
  <c r="M66" i="23"/>
  <c r="L66" i="23"/>
  <c r="K66" i="23"/>
  <c r="J66" i="23"/>
  <c r="I66" i="23"/>
  <c r="H66" i="23"/>
  <c r="G66" i="23"/>
  <c r="F66" i="23"/>
  <c r="E66" i="23"/>
  <c r="P65" i="23"/>
  <c r="O65" i="23"/>
  <c r="N65" i="23"/>
  <c r="M65" i="23"/>
  <c r="L65" i="23"/>
  <c r="K65" i="23"/>
  <c r="J65" i="23"/>
  <c r="I65" i="23"/>
  <c r="H65" i="23"/>
  <c r="G65" i="23"/>
  <c r="F65" i="23"/>
  <c r="E65" i="23"/>
  <c r="U65" i="23" s="1"/>
  <c r="P64" i="23"/>
  <c r="O64" i="23"/>
  <c r="N64" i="23"/>
  <c r="M64" i="23"/>
  <c r="L64" i="23"/>
  <c r="K64" i="23"/>
  <c r="J64" i="23"/>
  <c r="I64" i="23"/>
  <c r="H64" i="23"/>
  <c r="G64" i="23"/>
  <c r="F64" i="23"/>
  <c r="E64" i="23"/>
  <c r="Q62" i="23"/>
  <c r="P61" i="23"/>
  <c r="O61" i="23"/>
  <c r="N61" i="23"/>
  <c r="M61" i="23"/>
  <c r="L61" i="23"/>
  <c r="K61" i="23"/>
  <c r="J61" i="23"/>
  <c r="I61" i="23"/>
  <c r="H61" i="23"/>
  <c r="G61" i="23"/>
  <c r="F61" i="23"/>
  <c r="E61" i="23"/>
  <c r="P60" i="23"/>
  <c r="O60" i="23"/>
  <c r="N60" i="23"/>
  <c r="M60" i="23"/>
  <c r="L60" i="23"/>
  <c r="K60" i="23"/>
  <c r="J60" i="23"/>
  <c r="I60" i="23"/>
  <c r="H60" i="23"/>
  <c r="G60" i="23"/>
  <c r="F60" i="23"/>
  <c r="E60" i="23"/>
  <c r="P59" i="23"/>
  <c r="O59" i="23"/>
  <c r="N59" i="23"/>
  <c r="M59" i="23"/>
  <c r="L59" i="23"/>
  <c r="K59" i="23"/>
  <c r="J59" i="23"/>
  <c r="I59" i="23"/>
  <c r="H59" i="23"/>
  <c r="G59" i="23"/>
  <c r="F59" i="23"/>
  <c r="E59" i="23"/>
  <c r="U59" i="23" s="1"/>
  <c r="P58" i="23"/>
  <c r="O58" i="23"/>
  <c r="N58" i="23"/>
  <c r="M58" i="23"/>
  <c r="L58" i="23"/>
  <c r="K58" i="23"/>
  <c r="J58" i="23"/>
  <c r="I58" i="23"/>
  <c r="H58" i="23"/>
  <c r="G58" i="23"/>
  <c r="F58" i="23"/>
  <c r="E58" i="23"/>
  <c r="P57" i="23"/>
  <c r="O57" i="23"/>
  <c r="N57" i="23"/>
  <c r="M57" i="23"/>
  <c r="L57" i="23"/>
  <c r="K57" i="23"/>
  <c r="J57" i="23"/>
  <c r="I57" i="23"/>
  <c r="H57" i="23"/>
  <c r="G57" i="23"/>
  <c r="F57" i="23"/>
  <c r="E57" i="23"/>
  <c r="P56" i="23"/>
  <c r="O56" i="23"/>
  <c r="N56" i="23"/>
  <c r="M56" i="23"/>
  <c r="L56" i="23"/>
  <c r="K56" i="23"/>
  <c r="J56" i="23"/>
  <c r="I56" i="23"/>
  <c r="H56" i="23"/>
  <c r="G56" i="23"/>
  <c r="F56" i="23"/>
  <c r="E56" i="23"/>
  <c r="P55" i="23"/>
  <c r="O55" i="23"/>
  <c r="N55" i="23"/>
  <c r="M55" i="23"/>
  <c r="L55" i="23"/>
  <c r="K55" i="23"/>
  <c r="J55" i="23"/>
  <c r="I55" i="23"/>
  <c r="H55" i="23"/>
  <c r="G55" i="23"/>
  <c r="F55" i="23"/>
  <c r="E55" i="23"/>
  <c r="U55" i="23" s="1"/>
  <c r="P54" i="23"/>
  <c r="O54" i="23"/>
  <c r="N54" i="23"/>
  <c r="M54" i="23"/>
  <c r="L54" i="23"/>
  <c r="K54" i="23"/>
  <c r="J54" i="23"/>
  <c r="I54" i="23"/>
  <c r="H54" i="23"/>
  <c r="G54" i="23"/>
  <c r="F54" i="23"/>
  <c r="E54" i="23"/>
  <c r="P53" i="23"/>
  <c r="O53" i="23"/>
  <c r="N53" i="23"/>
  <c r="M53" i="23"/>
  <c r="L53" i="23"/>
  <c r="K53" i="23"/>
  <c r="J53" i="23"/>
  <c r="I53" i="23"/>
  <c r="H53" i="23"/>
  <c r="G53" i="23"/>
  <c r="F53" i="23"/>
  <c r="E53" i="23"/>
  <c r="P52" i="23"/>
  <c r="O52" i="23"/>
  <c r="N52" i="23"/>
  <c r="M52" i="23"/>
  <c r="L52" i="23"/>
  <c r="K52" i="23"/>
  <c r="J52" i="23"/>
  <c r="I52" i="23"/>
  <c r="H52" i="23"/>
  <c r="G52" i="23"/>
  <c r="F52" i="23"/>
  <c r="E52" i="23"/>
  <c r="P51" i="23"/>
  <c r="O51" i="23"/>
  <c r="N51" i="23"/>
  <c r="M51" i="23"/>
  <c r="L51" i="23"/>
  <c r="K51" i="23"/>
  <c r="J51" i="23"/>
  <c r="I51" i="23"/>
  <c r="H51" i="23"/>
  <c r="G51" i="23"/>
  <c r="F51" i="23"/>
  <c r="E51" i="23"/>
  <c r="U51" i="23" s="1"/>
  <c r="P50" i="23"/>
  <c r="O50" i="23"/>
  <c r="N50" i="23"/>
  <c r="M50" i="23"/>
  <c r="L50" i="23"/>
  <c r="K50" i="23"/>
  <c r="J50" i="23"/>
  <c r="I50" i="23"/>
  <c r="H50" i="23"/>
  <c r="G50" i="23"/>
  <c r="F50" i="23"/>
  <c r="E50" i="23"/>
  <c r="P49" i="23"/>
  <c r="O49" i="23"/>
  <c r="N49" i="23"/>
  <c r="M49" i="23"/>
  <c r="L49" i="23"/>
  <c r="K49" i="23"/>
  <c r="J49" i="23"/>
  <c r="I49" i="23"/>
  <c r="H49" i="23"/>
  <c r="G49" i="23"/>
  <c r="F49" i="23"/>
  <c r="E49" i="23"/>
  <c r="P48" i="23"/>
  <c r="O48" i="23"/>
  <c r="N48" i="23"/>
  <c r="M48" i="23"/>
  <c r="L48" i="23"/>
  <c r="K48" i="23"/>
  <c r="J48" i="23"/>
  <c r="I48" i="23"/>
  <c r="H48" i="23"/>
  <c r="G48" i="23"/>
  <c r="F48" i="23"/>
  <c r="E48" i="23"/>
  <c r="P47" i="23"/>
  <c r="O47" i="23"/>
  <c r="N47" i="23"/>
  <c r="M47" i="23"/>
  <c r="L47" i="23"/>
  <c r="K47" i="23"/>
  <c r="J47" i="23"/>
  <c r="I47" i="23"/>
  <c r="H47" i="23"/>
  <c r="G47" i="23"/>
  <c r="F47" i="23"/>
  <c r="E47" i="23"/>
  <c r="U47" i="23" s="1"/>
  <c r="P46" i="23"/>
  <c r="O46" i="23"/>
  <c r="N46" i="23"/>
  <c r="M46" i="23"/>
  <c r="L46" i="23"/>
  <c r="K46" i="23"/>
  <c r="J46" i="23"/>
  <c r="I46" i="23"/>
  <c r="H46" i="23"/>
  <c r="G46" i="23"/>
  <c r="F46" i="23"/>
  <c r="E46" i="23"/>
  <c r="P45" i="23"/>
  <c r="O45" i="23"/>
  <c r="N45" i="23"/>
  <c r="M45" i="23"/>
  <c r="L45" i="23"/>
  <c r="K45" i="23"/>
  <c r="J45" i="23"/>
  <c r="I45" i="23"/>
  <c r="H45" i="23"/>
  <c r="G45" i="23"/>
  <c r="F45" i="23"/>
  <c r="E45" i="23"/>
  <c r="P44" i="23"/>
  <c r="O44" i="23"/>
  <c r="N44" i="23"/>
  <c r="M44" i="23"/>
  <c r="L44" i="23"/>
  <c r="K44" i="23"/>
  <c r="J44" i="23"/>
  <c r="I44" i="23"/>
  <c r="H44" i="23"/>
  <c r="G44" i="23"/>
  <c r="F44" i="23"/>
  <c r="E44" i="23"/>
  <c r="P43" i="23"/>
  <c r="O43" i="23"/>
  <c r="N43" i="23"/>
  <c r="M43" i="23"/>
  <c r="L43" i="23"/>
  <c r="K43" i="23"/>
  <c r="J43" i="23"/>
  <c r="I43" i="23"/>
  <c r="H43" i="23"/>
  <c r="G43" i="23"/>
  <c r="F43" i="23"/>
  <c r="E43" i="23"/>
  <c r="Q41" i="23"/>
  <c r="P40" i="23"/>
  <c r="O40" i="23"/>
  <c r="N40" i="23"/>
  <c r="M40" i="23"/>
  <c r="L40" i="23"/>
  <c r="K40" i="23"/>
  <c r="J40" i="23"/>
  <c r="I40" i="23"/>
  <c r="H40" i="23"/>
  <c r="G40" i="23"/>
  <c r="F40" i="23"/>
  <c r="E40" i="23"/>
  <c r="P39" i="23"/>
  <c r="O39" i="23"/>
  <c r="N39" i="23"/>
  <c r="M39" i="23"/>
  <c r="L39" i="23"/>
  <c r="K39" i="23"/>
  <c r="J39" i="23"/>
  <c r="I39" i="23"/>
  <c r="H39" i="23"/>
  <c r="G39" i="23"/>
  <c r="F39" i="23"/>
  <c r="E39" i="23"/>
  <c r="P38" i="23"/>
  <c r="O38" i="23"/>
  <c r="N38" i="23"/>
  <c r="M38" i="23"/>
  <c r="L38" i="23"/>
  <c r="K38" i="23"/>
  <c r="J38" i="23"/>
  <c r="I38" i="23"/>
  <c r="H38" i="23"/>
  <c r="G38" i="23"/>
  <c r="F38" i="23"/>
  <c r="E38" i="23"/>
  <c r="P37" i="23"/>
  <c r="O37" i="23"/>
  <c r="N37" i="23"/>
  <c r="M37" i="23"/>
  <c r="L37" i="23"/>
  <c r="K37" i="23"/>
  <c r="J37" i="23"/>
  <c r="I37" i="23"/>
  <c r="H37" i="23"/>
  <c r="G37" i="23"/>
  <c r="F37" i="23"/>
  <c r="E37" i="23"/>
  <c r="U37" i="23" s="1"/>
  <c r="P36" i="23"/>
  <c r="O36" i="23"/>
  <c r="N36" i="23"/>
  <c r="M36" i="23"/>
  <c r="L36" i="23"/>
  <c r="K36" i="23"/>
  <c r="J36" i="23"/>
  <c r="I36" i="23"/>
  <c r="H36" i="23"/>
  <c r="G36" i="23"/>
  <c r="F36" i="23"/>
  <c r="E36" i="23"/>
  <c r="P35" i="23"/>
  <c r="O35" i="23"/>
  <c r="N35" i="23"/>
  <c r="M35" i="23"/>
  <c r="L35" i="23"/>
  <c r="K35" i="23"/>
  <c r="J35" i="23"/>
  <c r="I35" i="23"/>
  <c r="H35" i="23"/>
  <c r="G35" i="23"/>
  <c r="F35" i="23"/>
  <c r="E35" i="23"/>
  <c r="P34" i="23"/>
  <c r="O34" i="23"/>
  <c r="N34" i="23"/>
  <c r="M34" i="23"/>
  <c r="L34" i="23"/>
  <c r="K34" i="23"/>
  <c r="J34" i="23"/>
  <c r="I34" i="23"/>
  <c r="H34" i="23"/>
  <c r="G34" i="23"/>
  <c r="F34" i="23"/>
  <c r="E34" i="23"/>
  <c r="J33" i="23"/>
  <c r="P32" i="23"/>
  <c r="O32" i="23"/>
  <c r="N32" i="23"/>
  <c r="M32" i="23"/>
  <c r="L32" i="23"/>
  <c r="K32" i="23"/>
  <c r="J32" i="23"/>
  <c r="I32" i="23"/>
  <c r="H32" i="23"/>
  <c r="G32" i="23"/>
  <c r="F32" i="23"/>
  <c r="E32" i="23"/>
  <c r="P31" i="23"/>
  <c r="O31" i="23"/>
  <c r="N31" i="23"/>
  <c r="M31" i="23"/>
  <c r="L31" i="23"/>
  <c r="K31" i="23"/>
  <c r="J31" i="23"/>
  <c r="I31" i="23"/>
  <c r="H31" i="23"/>
  <c r="G31" i="23"/>
  <c r="F31" i="23"/>
  <c r="E31" i="23"/>
  <c r="Q25" i="23"/>
  <c r="O25" i="23"/>
  <c r="P24" i="23"/>
  <c r="P25" i="23" s="1"/>
  <c r="O24" i="23"/>
  <c r="N24" i="23"/>
  <c r="N25" i="23" s="1"/>
  <c r="M24" i="23"/>
  <c r="M25" i="23" s="1"/>
  <c r="L24" i="23"/>
  <c r="L25" i="23" s="1"/>
  <c r="K24" i="23"/>
  <c r="K25" i="23" s="1"/>
  <c r="J24" i="23"/>
  <c r="J25" i="23" s="1"/>
  <c r="I24" i="23"/>
  <c r="I25" i="23" s="1"/>
  <c r="H24" i="23"/>
  <c r="H25" i="23" s="1"/>
  <c r="G24" i="23"/>
  <c r="G25" i="23" s="1"/>
  <c r="F24" i="23"/>
  <c r="F25" i="23" s="1"/>
  <c r="E24" i="23"/>
  <c r="Q22" i="23"/>
  <c r="P21" i="23"/>
  <c r="O21" i="23"/>
  <c r="N21" i="23"/>
  <c r="M21" i="23"/>
  <c r="L21" i="23"/>
  <c r="K21" i="23"/>
  <c r="J21" i="23"/>
  <c r="I21" i="23"/>
  <c r="H21" i="23"/>
  <c r="G21" i="23"/>
  <c r="F21" i="23"/>
  <c r="E21" i="23"/>
  <c r="P20" i="23"/>
  <c r="O20" i="23"/>
  <c r="N20" i="23"/>
  <c r="M20" i="23"/>
  <c r="L20" i="23"/>
  <c r="K20" i="23"/>
  <c r="J20" i="23"/>
  <c r="I20" i="23"/>
  <c r="H20" i="23"/>
  <c r="G20" i="23"/>
  <c r="F20" i="23"/>
  <c r="E20" i="23"/>
  <c r="P19" i="23"/>
  <c r="O19" i="23"/>
  <c r="N19" i="23"/>
  <c r="M19" i="23"/>
  <c r="L19" i="23"/>
  <c r="K19" i="23"/>
  <c r="J19" i="23"/>
  <c r="I19" i="23"/>
  <c r="H19" i="23"/>
  <c r="H22" i="23" s="1"/>
  <c r="G19" i="23"/>
  <c r="F19" i="23"/>
  <c r="E19" i="23"/>
  <c r="Q17" i="23"/>
  <c r="P16" i="23"/>
  <c r="O16" i="23"/>
  <c r="N16" i="23"/>
  <c r="M16" i="23"/>
  <c r="L16" i="23"/>
  <c r="K16" i="23"/>
  <c r="J16" i="23"/>
  <c r="I16" i="23"/>
  <c r="H16" i="23"/>
  <c r="G16" i="23"/>
  <c r="F16" i="23"/>
  <c r="E16" i="23"/>
  <c r="P15" i="23"/>
  <c r="O15" i="23"/>
  <c r="N15" i="23"/>
  <c r="N17" i="23" s="1"/>
  <c r="M15" i="23"/>
  <c r="L15" i="23"/>
  <c r="K15" i="23"/>
  <c r="J15" i="23"/>
  <c r="I15" i="23"/>
  <c r="I17" i="23" s="1"/>
  <c r="H15" i="23"/>
  <c r="G15" i="23"/>
  <c r="F15" i="23"/>
  <c r="E15" i="23"/>
  <c r="Q13" i="23"/>
  <c r="P12" i="23"/>
  <c r="O12" i="23"/>
  <c r="N12" i="23"/>
  <c r="M12" i="23"/>
  <c r="L12" i="23"/>
  <c r="K12" i="23"/>
  <c r="J12" i="23"/>
  <c r="I12" i="23"/>
  <c r="H12" i="23"/>
  <c r="G12" i="23"/>
  <c r="F12" i="23"/>
  <c r="E12" i="23"/>
  <c r="P11" i="23"/>
  <c r="O11" i="23"/>
  <c r="N11" i="23"/>
  <c r="M11" i="23"/>
  <c r="L11" i="23"/>
  <c r="K11" i="23"/>
  <c r="J11" i="23"/>
  <c r="I11" i="23"/>
  <c r="H11" i="23"/>
  <c r="G11" i="23"/>
  <c r="F11" i="23"/>
  <c r="E11" i="23"/>
  <c r="P10" i="23"/>
  <c r="O10" i="23"/>
  <c r="N10" i="23"/>
  <c r="M10" i="23"/>
  <c r="L10" i="23"/>
  <c r="K10" i="23"/>
  <c r="J10" i="23"/>
  <c r="I10" i="23"/>
  <c r="H10" i="23"/>
  <c r="G10" i="23"/>
  <c r="F10" i="23"/>
  <c r="E10" i="23"/>
  <c r="P9" i="23"/>
  <c r="O9" i="23"/>
  <c r="N9" i="23"/>
  <c r="M9" i="23"/>
  <c r="L9" i="23"/>
  <c r="K9" i="23"/>
  <c r="J9" i="23"/>
  <c r="I9" i="23"/>
  <c r="H9" i="23"/>
  <c r="G9" i="23"/>
  <c r="F9" i="23"/>
  <c r="E9" i="23"/>
  <c r="P8" i="23"/>
  <c r="O8" i="23"/>
  <c r="N8" i="23"/>
  <c r="M8" i="23"/>
  <c r="L8" i="23"/>
  <c r="K8" i="23"/>
  <c r="J8" i="23"/>
  <c r="I8" i="23"/>
  <c r="H8" i="23"/>
  <c r="G8" i="23"/>
  <c r="F8" i="23"/>
  <c r="E8" i="23"/>
  <c r="F4" i="23"/>
  <c r="G4" i="23" s="1"/>
  <c r="H4" i="23" s="1"/>
  <c r="I4" i="23" s="1"/>
  <c r="J4" i="23" s="1"/>
  <c r="K4" i="23" s="1"/>
  <c r="L4" i="23" s="1"/>
  <c r="M4" i="23" s="1"/>
  <c r="N4" i="23" s="1"/>
  <c r="O4" i="23" s="1"/>
  <c r="P4" i="23" s="1"/>
  <c r="P112" i="5"/>
  <c r="O112" i="5"/>
  <c r="N112" i="5"/>
  <c r="M112" i="5"/>
  <c r="L112" i="5"/>
  <c r="K112" i="5"/>
  <c r="J112" i="5"/>
  <c r="I112" i="5"/>
  <c r="H112" i="5"/>
  <c r="G112" i="5"/>
  <c r="F112" i="5"/>
  <c r="E112" i="5"/>
  <c r="P111" i="5"/>
  <c r="O111" i="5"/>
  <c r="N111" i="5"/>
  <c r="M111" i="5"/>
  <c r="L111" i="5"/>
  <c r="K111" i="5"/>
  <c r="J111" i="5"/>
  <c r="I111" i="5"/>
  <c r="H111" i="5"/>
  <c r="G111" i="5"/>
  <c r="F111" i="5"/>
  <c r="E111" i="5"/>
  <c r="P108" i="5"/>
  <c r="O108" i="5"/>
  <c r="N108" i="5"/>
  <c r="M108" i="5"/>
  <c r="L108" i="5"/>
  <c r="K108" i="5"/>
  <c r="J108" i="5"/>
  <c r="I108" i="5"/>
  <c r="H108" i="5"/>
  <c r="G108" i="5"/>
  <c r="F108" i="5"/>
  <c r="E108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P102" i="5"/>
  <c r="O102" i="5"/>
  <c r="N102" i="5"/>
  <c r="M102" i="5"/>
  <c r="L102" i="5"/>
  <c r="K102" i="5"/>
  <c r="J102" i="5"/>
  <c r="I102" i="5"/>
  <c r="H102" i="5"/>
  <c r="G102" i="5"/>
  <c r="F102" i="5"/>
  <c r="E102" i="5"/>
  <c r="P101" i="5"/>
  <c r="O101" i="5"/>
  <c r="N101" i="5"/>
  <c r="M101" i="5"/>
  <c r="L101" i="5"/>
  <c r="K101" i="5"/>
  <c r="J101" i="5"/>
  <c r="I101" i="5"/>
  <c r="H101" i="5"/>
  <c r="G101" i="5"/>
  <c r="F101" i="5"/>
  <c r="E101" i="5"/>
  <c r="P100" i="5"/>
  <c r="O100" i="5"/>
  <c r="N100" i="5"/>
  <c r="M100" i="5"/>
  <c r="L100" i="5"/>
  <c r="K100" i="5"/>
  <c r="J100" i="5"/>
  <c r="I100" i="5"/>
  <c r="H100" i="5"/>
  <c r="G100" i="5"/>
  <c r="F100" i="5"/>
  <c r="E100" i="5"/>
  <c r="P99" i="5"/>
  <c r="O99" i="5"/>
  <c r="N99" i="5"/>
  <c r="M99" i="5"/>
  <c r="L99" i="5"/>
  <c r="K99" i="5"/>
  <c r="J99" i="5"/>
  <c r="I99" i="5"/>
  <c r="H99" i="5"/>
  <c r="G99" i="5"/>
  <c r="F99" i="5"/>
  <c r="E99" i="5"/>
  <c r="P98" i="5"/>
  <c r="O98" i="5"/>
  <c r="N98" i="5"/>
  <c r="M98" i="5"/>
  <c r="L98" i="5"/>
  <c r="K98" i="5"/>
  <c r="J98" i="5"/>
  <c r="I98" i="5"/>
  <c r="H98" i="5"/>
  <c r="G98" i="5"/>
  <c r="F98" i="5"/>
  <c r="E98" i="5"/>
  <c r="P97" i="5"/>
  <c r="O97" i="5"/>
  <c r="N97" i="5"/>
  <c r="M97" i="5"/>
  <c r="L97" i="5"/>
  <c r="K97" i="5"/>
  <c r="J97" i="5"/>
  <c r="I97" i="5"/>
  <c r="H97" i="5"/>
  <c r="G97" i="5"/>
  <c r="F97" i="5"/>
  <c r="E97" i="5"/>
  <c r="P96" i="5"/>
  <c r="O96" i="5"/>
  <c r="N96" i="5"/>
  <c r="M96" i="5"/>
  <c r="L96" i="5"/>
  <c r="K96" i="5"/>
  <c r="J96" i="5"/>
  <c r="I96" i="5"/>
  <c r="H96" i="5"/>
  <c r="G96" i="5"/>
  <c r="F96" i="5"/>
  <c r="E96" i="5"/>
  <c r="P93" i="5"/>
  <c r="O93" i="5"/>
  <c r="N93" i="5"/>
  <c r="M93" i="5"/>
  <c r="L93" i="5"/>
  <c r="K93" i="5"/>
  <c r="J93" i="5"/>
  <c r="I93" i="5"/>
  <c r="H93" i="5"/>
  <c r="G93" i="5"/>
  <c r="F93" i="5"/>
  <c r="E93" i="5"/>
  <c r="P92" i="5"/>
  <c r="O92" i="5"/>
  <c r="N92" i="5"/>
  <c r="M92" i="5"/>
  <c r="L92" i="5"/>
  <c r="K92" i="5"/>
  <c r="J92" i="5"/>
  <c r="I92" i="5"/>
  <c r="H92" i="5"/>
  <c r="G92" i="5"/>
  <c r="F92" i="5"/>
  <c r="E92" i="5"/>
  <c r="P91" i="5"/>
  <c r="O91" i="5"/>
  <c r="N91" i="5"/>
  <c r="M91" i="5"/>
  <c r="L91" i="5"/>
  <c r="K91" i="5"/>
  <c r="J91" i="5"/>
  <c r="I91" i="5"/>
  <c r="H91" i="5"/>
  <c r="G91" i="5"/>
  <c r="F91" i="5"/>
  <c r="E91" i="5"/>
  <c r="P90" i="5"/>
  <c r="O90" i="5"/>
  <c r="N90" i="5"/>
  <c r="M90" i="5"/>
  <c r="L90" i="5"/>
  <c r="K90" i="5"/>
  <c r="J90" i="5"/>
  <c r="I90" i="5"/>
  <c r="H90" i="5"/>
  <c r="G90" i="5"/>
  <c r="F90" i="5"/>
  <c r="E90" i="5"/>
  <c r="P89" i="5"/>
  <c r="O89" i="5"/>
  <c r="N89" i="5"/>
  <c r="M89" i="5"/>
  <c r="L89" i="5"/>
  <c r="K89" i="5"/>
  <c r="J89" i="5"/>
  <c r="I89" i="5"/>
  <c r="H89" i="5"/>
  <c r="G89" i="5"/>
  <c r="F89" i="5"/>
  <c r="E89" i="5"/>
  <c r="P88" i="5"/>
  <c r="O88" i="5"/>
  <c r="N88" i="5"/>
  <c r="M88" i="5"/>
  <c r="L88" i="5"/>
  <c r="K88" i="5"/>
  <c r="J88" i="5"/>
  <c r="I88" i="5"/>
  <c r="H88" i="5"/>
  <c r="G88" i="5"/>
  <c r="F88" i="5"/>
  <c r="E88" i="5"/>
  <c r="P87" i="5"/>
  <c r="O87" i="5"/>
  <c r="N87" i="5"/>
  <c r="M87" i="5"/>
  <c r="L87" i="5"/>
  <c r="K87" i="5"/>
  <c r="J87" i="5"/>
  <c r="I87" i="5"/>
  <c r="H87" i="5"/>
  <c r="G87" i="5"/>
  <c r="F87" i="5"/>
  <c r="E87" i="5"/>
  <c r="P86" i="5"/>
  <c r="O86" i="5"/>
  <c r="N86" i="5"/>
  <c r="M86" i="5"/>
  <c r="L86" i="5"/>
  <c r="K86" i="5"/>
  <c r="J86" i="5"/>
  <c r="I86" i="5"/>
  <c r="H86" i="5"/>
  <c r="G86" i="5"/>
  <c r="F86" i="5"/>
  <c r="E86" i="5"/>
  <c r="P85" i="5"/>
  <c r="O85" i="5"/>
  <c r="N85" i="5"/>
  <c r="M85" i="5"/>
  <c r="L85" i="5"/>
  <c r="K85" i="5"/>
  <c r="J85" i="5"/>
  <c r="I85" i="5"/>
  <c r="H85" i="5"/>
  <c r="G85" i="5"/>
  <c r="F85" i="5"/>
  <c r="E85" i="5"/>
  <c r="P84" i="5"/>
  <c r="O84" i="5"/>
  <c r="N84" i="5"/>
  <c r="M84" i="5"/>
  <c r="L84" i="5"/>
  <c r="K84" i="5"/>
  <c r="J84" i="5"/>
  <c r="I84" i="5"/>
  <c r="H84" i="5"/>
  <c r="G84" i="5"/>
  <c r="F84" i="5"/>
  <c r="E84" i="5"/>
  <c r="P83" i="5"/>
  <c r="O83" i="5"/>
  <c r="N83" i="5"/>
  <c r="M83" i="5"/>
  <c r="L83" i="5"/>
  <c r="K83" i="5"/>
  <c r="J83" i="5"/>
  <c r="I83" i="5"/>
  <c r="H83" i="5"/>
  <c r="G83" i="5"/>
  <c r="F83" i="5"/>
  <c r="E83" i="5"/>
  <c r="P82" i="5"/>
  <c r="O82" i="5"/>
  <c r="N82" i="5"/>
  <c r="M82" i="5"/>
  <c r="L82" i="5"/>
  <c r="K82" i="5"/>
  <c r="J82" i="5"/>
  <c r="I82" i="5"/>
  <c r="H82" i="5"/>
  <c r="G82" i="5"/>
  <c r="F82" i="5"/>
  <c r="E82" i="5"/>
  <c r="P79" i="5"/>
  <c r="O79" i="5"/>
  <c r="N79" i="5"/>
  <c r="M79" i="5"/>
  <c r="L79" i="5"/>
  <c r="K79" i="5"/>
  <c r="J79" i="5"/>
  <c r="I79" i="5"/>
  <c r="H79" i="5"/>
  <c r="G79" i="5"/>
  <c r="F79" i="5"/>
  <c r="E79" i="5"/>
  <c r="P78" i="5"/>
  <c r="O78" i="5"/>
  <c r="N78" i="5"/>
  <c r="M78" i="5"/>
  <c r="L78" i="5"/>
  <c r="K78" i="5"/>
  <c r="J78" i="5"/>
  <c r="I78" i="5"/>
  <c r="H78" i="5"/>
  <c r="G78" i="5"/>
  <c r="F78" i="5"/>
  <c r="E78" i="5"/>
  <c r="P77" i="5"/>
  <c r="O77" i="5"/>
  <c r="N77" i="5"/>
  <c r="M77" i="5"/>
  <c r="L77" i="5"/>
  <c r="K77" i="5"/>
  <c r="J77" i="5"/>
  <c r="I77" i="5"/>
  <c r="H77" i="5"/>
  <c r="G77" i="5"/>
  <c r="F77" i="5"/>
  <c r="E77" i="5"/>
  <c r="P76" i="5"/>
  <c r="O76" i="5"/>
  <c r="N76" i="5"/>
  <c r="M76" i="5"/>
  <c r="L76" i="5"/>
  <c r="K76" i="5"/>
  <c r="J76" i="5"/>
  <c r="I76" i="5"/>
  <c r="H76" i="5"/>
  <c r="G76" i="5"/>
  <c r="F76" i="5"/>
  <c r="E76" i="5"/>
  <c r="P73" i="5"/>
  <c r="O73" i="5"/>
  <c r="N73" i="5"/>
  <c r="M73" i="5"/>
  <c r="L73" i="5"/>
  <c r="K73" i="5"/>
  <c r="J73" i="5"/>
  <c r="I73" i="5"/>
  <c r="H73" i="5"/>
  <c r="G73" i="5"/>
  <c r="F73" i="5"/>
  <c r="E73" i="5"/>
  <c r="P72" i="5"/>
  <c r="O72" i="5"/>
  <c r="N72" i="5"/>
  <c r="M72" i="5"/>
  <c r="L72" i="5"/>
  <c r="K72" i="5"/>
  <c r="J72" i="5"/>
  <c r="I72" i="5"/>
  <c r="H72" i="5"/>
  <c r="G72" i="5"/>
  <c r="F72" i="5"/>
  <c r="E72" i="5"/>
  <c r="P71" i="5"/>
  <c r="O71" i="5"/>
  <c r="N71" i="5"/>
  <c r="M71" i="5"/>
  <c r="L71" i="5"/>
  <c r="K71" i="5"/>
  <c r="J71" i="5"/>
  <c r="I71" i="5"/>
  <c r="H71" i="5"/>
  <c r="G71" i="5"/>
  <c r="F71" i="5"/>
  <c r="E71" i="5"/>
  <c r="P70" i="5"/>
  <c r="O70" i="5"/>
  <c r="N70" i="5"/>
  <c r="M70" i="5"/>
  <c r="L70" i="5"/>
  <c r="K70" i="5"/>
  <c r="J70" i="5"/>
  <c r="I70" i="5"/>
  <c r="H70" i="5"/>
  <c r="G70" i="5"/>
  <c r="F70" i="5"/>
  <c r="E70" i="5"/>
  <c r="P69" i="5"/>
  <c r="O69" i="5"/>
  <c r="N69" i="5"/>
  <c r="M69" i="5"/>
  <c r="L69" i="5"/>
  <c r="K69" i="5"/>
  <c r="J69" i="5"/>
  <c r="I69" i="5"/>
  <c r="H69" i="5"/>
  <c r="G69" i="5"/>
  <c r="F69" i="5"/>
  <c r="E69" i="5"/>
  <c r="P68" i="5"/>
  <c r="O68" i="5"/>
  <c r="N68" i="5"/>
  <c r="M68" i="5"/>
  <c r="L68" i="5"/>
  <c r="K68" i="5"/>
  <c r="J68" i="5"/>
  <c r="I68" i="5"/>
  <c r="H68" i="5"/>
  <c r="G68" i="5"/>
  <c r="F68" i="5"/>
  <c r="E68" i="5"/>
  <c r="P67" i="5"/>
  <c r="O67" i="5"/>
  <c r="N67" i="5"/>
  <c r="M67" i="5"/>
  <c r="L67" i="5"/>
  <c r="K67" i="5"/>
  <c r="J67" i="5"/>
  <c r="I67" i="5"/>
  <c r="H67" i="5"/>
  <c r="G67" i="5"/>
  <c r="F67" i="5"/>
  <c r="E67" i="5"/>
  <c r="P66" i="5"/>
  <c r="O66" i="5"/>
  <c r="N66" i="5"/>
  <c r="M66" i="5"/>
  <c r="L66" i="5"/>
  <c r="K66" i="5"/>
  <c r="J66" i="5"/>
  <c r="I66" i="5"/>
  <c r="H66" i="5"/>
  <c r="G66" i="5"/>
  <c r="F66" i="5"/>
  <c r="E66" i="5"/>
  <c r="P65" i="5"/>
  <c r="O65" i="5"/>
  <c r="N65" i="5"/>
  <c r="M65" i="5"/>
  <c r="L65" i="5"/>
  <c r="K65" i="5"/>
  <c r="J65" i="5"/>
  <c r="I65" i="5"/>
  <c r="H65" i="5"/>
  <c r="G65" i="5"/>
  <c r="F65" i="5"/>
  <c r="E65" i="5"/>
  <c r="P64" i="5"/>
  <c r="O64" i="5"/>
  <c r="N64" i="5"/>
  <c r="M64" i="5"/>
  <c r="L64" i="5"/>
  <c r="K64" i="5"/>
  <c r="J64" i="5"/>
  <c r="I64" i="5"/>
  <c r="H64" i="5"/>
  <c r="G64" i="5"/>
  <c r="F64" i="5"/>
  <c r="E64" i="5"/>
  <c r="P61" i="5"/>
  <c r="O61" i="5"/>
  <c r="N61" i="5"/>
  <c r="M61" i="5"/>
  <c r="L61" i="5"/>
  <c r="K61" i="5"/>
  <c r="J61" i="5"/>
  <c r="I61" i="5"/>
  <c r="H61" i="5"/>
  <c r="G61" i="5"/>
  <c r="F61" i="5"/>
  <c r="E61" i="5"/>
  <c r="P60" i="5"/>
  <c r="O60" i="5"/>
  <c r="N60" i="5"/>
  <c r="M60" i="5"/>
  <c r="L60" i="5"/>
  <c r="K60" i="5"/>
  <c r="J60" i="5"/>
  <c r="I60" i="5"/>
  <c r="H60" i="5"/>
  <c r="G60" i="5"/>
  <c r="F60" i="5"/>
  <c r="E60" i="5"/>
  <c r="P59" i="5"/>
  <c r="O59" i="5"/>
  <c r="N59" i="5"/>
  <c r="M59" i="5"/>
  <c r="L59" i="5"/>
  <c r="K59" i="5"/>
  <c r="J59" i="5"/>
  <c r="I59" i="5"/>
  <c r="H59" i="5"/>
  <c r="G59" i="5"/>
  <c r="F59" i="5"/>
  <c r="E59" i="5"/>
  <c r="P58" i="5"/>
  <c r="O58" i="5"/>
  <c r="N58" i="5"/>
  <c r="M58" i="5"/>
  <c r="L58" i="5"/>
  <c r="K58" i="5"/>
  <c r="J58" i="5"/>
  <c r="I58" i="5"/>
  <c r="H58" i="5"/>
  <c r="G58" i="5"/>
  <c r="F58" i="5"/>
  <c r="E58" i="5"/>
  <c r="P57" i="5"/>
  <c r="O57" i="5"/>
  <c r="N57" i="5"/>
  <c r="M57" i="5"/>
  <c r="L57" i="5"/>
  <c r="K57" i="5"/>
  <c r="J57" i="5"/>
  <c r="I57" i="5"/>
  <c r="H57" i="5"/>
  <c r="G57" i="5"/>
  <c r="F57" i="5"/>
  <c r="E57" i="5"/>
  <c r="P56" i="5"/>
  <c r="O56" i="5"/>
  <c r="N56" i="5"/>
  <c r="M56" i="5"/>
  <c r="L56" i="5"/>
  <c r="K56" i="5"/>
  <c r="J56" i="5"/>
  <c r="I56" i="5"/>
  <c r="H56" i="5"/>
  <c r="G56" i="5"/>
  <c r="F56" i="5"/>
  <c r="E56" i="5"/>
  <c r="P55" i="5"/>
  <c r="O55" i="5"/>
  <c r="N55" i="5"/>
  <c r="M55" i="5"/>
  <c r="L55" i="5"/>
  <c r="K55" i="5"/>
  <c r="J55" i="5"/>
  <c r="I55" i="5"/>
  <c r="H55" i="5"/>
  <c r="G55" i="5"/>
  <c r="F55" i="5"/>
  <c r="E55" i="5"/>
  <c r="P54" i="5"/>
  <c r="O54" i="5"/>
  <c r="N54" i="5"/>
  <c r="M54" i="5"/>
  <c r="L54" i="5"/>
  <c r="K54" i="5"/>
  <c r="J54" i="5"/>
  <c r="I54" i="5"/>
  <c r="H54" i="5"/>
  <c r="G54" i="5"/>
  <c r="F54" i="5"/>
  <c r="E54" i="5"/>
  <c r="P53" i="5"/>
  <c r="O53" i="5"/>
  <c r="N53" i="5"/>
  <c r="M53" i="5"/>
  <c r="L53" i="5"/>
  <c r="K53" i="5"/>
  <c r="J53" i="5"/>
  <c r="I53" i="5"/>
  <c r="H53" i="5"/>
  <c r="G53" i="5"/>
  <c r="F53" i="5"/>
  <c r="E53" i="5"/>
  <c r="P52" i="5"/>
  <c r="O52" i="5"/>
  <c r="N52" i="5"/>
  <c r="M52" i="5"/>
  <c r="L52" i="5"/>
  <c r="K52" i="5"/>
  <c r="J52" i="5"/>
  <c r="I52" i="5"/>
  <c r="H52" i="5"/>
  <c r="G52" i="5"/>
  <c r="F52" i="5"/>
  <c r="E52" i="5"/>
  <c r="P51" i="5"/>
  <c r="O51" i="5"/>
  <c r="N51" i="5"/>
  <c r="M51" i="5"/>
  <c r="L51" i="5"/>
  <c r="K51" i="5"/>
  <c r="J51" i="5"/>
  <c r="I51" i="5"/>
  <c r="H51" i="5"/>
  <c r="G51" i="5"/>
  <c r="F51" i="5"/>
  <c r="E51" i="5"/>
  <c r="P50" i="5"/>
  <c r="O50" i="5"/>
  <c r="N50" i="5"/>
  <c r="M50" i="5"/>
  <c r="L50" i="5"/>
  <c r="K50" i="5"/>
  <c r="J50" i="5"/>
  <c r="I50" i="5"/>
  <c r="H50" i="5"/>
  <c r="G50" i="5"/>
  <c r="F50" i="5"/>
  <c r="E50" i="5"/>
  <c r="P49" i="5"/>
  <c r="O49" i="5"/>
  <c r="N49" i="5"/>
  <c r="M49" i="5"/>
  <c r="L49" i="5"/>
  <c r="K49" i="5"/>
  <c r="J49" i="5"/>
  <c r="I49" i="5"/>
  <c r="H49" i="5"/>
  <c r="G49" i="5"/>
  <c r="F49" i="5"/>
  <c r="E49" i="5"/>
  <c r="P48" i="5"/>
  <c r="O48" i="5"/>
  <c r="N48" i="5"/>
  <c r="M48" i="5"/>
  <c r="L48" i="5"/>
  <c r="K48" i="5"/>
  <c r="J48" i="5"/>
  <c r="I48" i="5"/>
  <c r="H48" i="5"/>
  <c r="G48" i="5"/>
  <c r="F48" i="5"/>
  <c r="E48" i="5"/>
  <c r="P47" i="5"/>
  <c r="O47" i="5"/>
  <c r="N47" i="5"/>
  <c r="M47" i="5"/>
  <c r="L47" i="5"/>
  <c r="K47" i="5"/>
  <c r="J47" i="5"/>
  <c r="I47" i="5"/>
  <c r="H47" i="5"/>
  <c r="G47" i="5"/>
  <c r="F47" i="5"/>
  <c r="E47" i="5"/>
  <c r="P46" i="5"/>
  <c r="O46" i="5"/>
  <c r="N46" i="5"/>
  <c r="M46" i="5"/>
  <c r="L46" i="5"/>
  <c r="K46" i="5"/>
  <c r="J46" i="5"/>
  <c r="I46" i="5"/>
  <c r="H46" i="5"/>
  <c r="G46" i="5"/>
  <c r="F46" i="5"/>
  <c r="E46" i="5"/>
  <c r="P45" i="5"/>
  <c r="O45" i="5"/>
  <c r="N45" i="5"/>
  <c r="M45" i="5"/>
  <c r="L45" i="5"/>
  <c r="K45" i="5"/>
  <c r="J45" i="5"/>
  <c r="I45" i="5"/>
  <c r="H45" i="5"/>
  <c r="G45" i="5"/>
  <c r="F45" i="5"/>
  <c r="E45" i="5"/>
  <c r="P44" i="5"/>
  <c r="O44" i="5"/>
  <c r="N44" i="5"/>
  <c r="M44" i="5"/>
  <c r="L44" i="5"/>
  <c r="K44" i="5"/>
  <c r="J44" i="5"/>
  <c r="I44" i="5"/>
  <c r="H44" i="5"/>
  <c r="G44" i="5"/>
  <c r="F44" i="5"/>
  <c r="E44" i="5"/>
  <c r="P43" i="5"/>
  <c r="O43" i="5"/>
  <c r="N43" i="5"/>
  <c r="M43" i="5"/>
  <c r="L43" i="5"/>
  <c r="K43" i="5"/>
  <c r="J43" i="5"/>
  <c r="I43" i="5"/>
  <c r="H43" i="5"/>
  <c r="G43" i="5"/>
  <c r="F43" i="5"/>
  <c r="E43" i="5"/>
  <c r="P40" i="5"/>
  <c r="O40" i="5"/>
  <c r="N40" i="5"/>
  <c r="M40" i="5"/>
  <c r="L40" i="5"/>
  <c r="K40" i="5"/>
  <c r="J40" i="5"/>
  <c r="I40" i="5"/>
  <c r="H40" i="5"/>
  <c r="G40" i="5"/>
  <c r="F40" i="5"/>
  <c r="E40" i="5"/>
  <c r="P39" i="5"/>
  <c r="O39" i="5"/>
  <c r="N39" i="5"/>
  <c r="M39" i="5"/>
  <c r="L39" i="5"/>
  <c r="K39" i="5"/>
  <c r="J39" i="5"/>
  <c r="I39" i="5"/>
  <c r="H39" i="5"/>
  <c r="G39" i="5"/>
  <c r="F39" i="5"/>
  <c r="E39" i="5"/>
  <c r="P38" i="5"/>
  <c r="O38" i="5"/>
  <c r="N38" i="5"/>
  <c r="M38" i="5"/>
  <c r="L38" i="5"/>
  <c r="K38" i="5"/>
  <c r="J38" i="5"/>
  <c r="I38" i="5"/>
  <c r="H38" i="5"/>
  <c r="G38" i="5"/>
  <c r="F38" i="5"/>
  <c r="E38" i="5"/>
  <c r="P37" i="5"/>
  <c r="O37" i="5"/>
  <c r="N37" i="5"/>
  <c r="M37" i="5"/>
  <c r="L37" i="5"/>
  <c r="K37" i="5"/>
  <c r="J37" i="5"/>
  <c r="I37" i="5"/>
  <c r="H37" i="5"/>
  <c r="G37" i="5"/>
  <c r="F37" i="5"/>
  <c r="E37" i="5"/>
  <c r="P36" i="5"/>
  <c r="O36" i="5"/>
  <c r="N36" i="5"/>
  <c r="M36" i="5"/>
  <c r="L36" i="5"/>
  <c r="K36" i="5"/>
  <c r="J36" i="5"/>
  <c r="I36" i="5"/>
  <c r="H36" i="5"/>
  <c r="G36" i="5"/>
  <c r="F36" i="5"/>
  <c r="E36" i="5"/>
  <c r="P35" i="5"/>
  <c r="O35" i="5"/>
  <c r="N35" i="5"/>
  <c r="M35" i="5"/>
  <c r="L35" i="5"/>
  <c r="K35" i="5"/>
  <c r="J35" i="5"/>
  <c r="I35" i="5"/>
  <c r="H35" i="5"/>
  <c r="G35" i="5"/>
  <c r="F35" i="5"/>
  <c r="E35" i="5"/>
  <c r="P34" i="5"/>
  <c r="O34" i="5"/>
  <c r="N34" i="5"/>
  <c r="M34" i="5"/>
  <c r="L34" i="5"/>
  <c r="K34" i="5"/>
  <c r="J34" i="5"/>
  <c r="I34" i="5"/>
  <c r="H34" i="5"/>
  <c r="G34" i="5"/>
  <c r="F34" i="5"/>
  <c r="E34" i="5"/>
  <c r="O33" i="5"/>
  <c r="N33" i="5"/>
  <c r="M33" i="5"/>
  <c r="L33" i="5"/>
  <c r="K33" i="5"/>
  <c r="J33" i="5"/>
  <c r="I33" i="5"/>
  <c r="H33" i="5"/>
  <c r="G33" i="5"/>
  <c r="F33" i="5"/>
  <c r="E33" i="5"/>
  <c r="P32" i="5"/>
  <c r="O32" i="5"/>
  <c r="N32" i="5"/>
  <c r="M32" i="5"/>
  <c r="L32" i="5"/>
  <c r="K32" i="5"/>
  <c r="J32" i="5"/>
  <c r="I32" i="5"/>
  <c r="H32" i="5"/>
  <c r="G32" i="5"/>
  <c r="F32" i="5"/>
  <c r="E32" i="5"/>
  <c r="P31" i="5"/>
  <c r="O31" i="5"/>
  <c r="N31" i="5"/>
  <c r="M31" i="5"/>
  <c r="L31" i="5"/>
  <c r="K31" i="5"/>
  <c r="J31" i="5"/>
  <c r="I31" i="5"/>
  <c r="H31" i="5"/>
  <c r="G31" i="5"/>
  <c r="F31" i="5"/>
  <c r="E31" i="5"/>
  <c r="P24" i="5"/>
  <c r="O24" i="5"/>
  <c r="N24" i="5"/>
  <c r="M24" i="5"/>
  <c r="L24" i="5"/>
  <c r="K24" i="5"/>
  <c r="J24" i="5"/>
  <c r="I24" i="5"/>
  <c r="H24" i="5"/>
  <c r="G24" i="5"/>
  <c r="F24" i="5"/>
  <c r="E24" i="5"/>
  <c r="P21" i="5"/>
  <c r="O21" i="5"/>
  <c r="N21" i="5"/>
  <c r="M21" i="5"/>
  <c r="L21" i="5"/>
  <c r="K21" i="5"/>
  <c r="J21" i="5"/>
  <c r="I21" i="5"/>
  <c r="H21" i="5"/>
  <c r="G21" i="5"/>
  <c r="F21" i="5"/>
  <c r="E21" i="5"/>
  <c r="P20" i="5"/>
  <c r="O20" i="5"/>
  <c r="N20" i="5"/>
  <c r="M20" i="5"/>
  <c r="L20" i="5"/>
  <c r="K20" i="5"/>
  <c r="J20" i="5"/>
  <c r="I20" i="5"/>
  <c r="H20" i="5"/>
  <c r="G20" i="5"/>
  <c r="F20" i="5"/>
  <c r="E20" i="5"/>
  <c r="P19" i="5"/>
  <c r="O19" i="5"/>
  <c r="N19" i="5"/>
  <c r="M19" i="5"/>
  <c r="L19" i="5"/>
  <c r="K19" i="5"/>
  <c r="J19" i="5"/>
  <c r="I19" i="5"/>
  <c r="H19" i="5"/>
  <c r="G19" i="5"/>
  <c r="F19" i="5"/>
  <c r="E19" i="5"/>
  <c r="P16" i="5"/>
  <c r="O16" i="5"/>
  <c r="N16" i="5"/>
  <c r="M16" i="5"/>
  <c r="L16" i="5"/>
  <c r="K16" i="5"/>
  <c r="J16" i="5"/>
  <c r="I16" i="5"/>
  <c r="H16" i="5"/>
  <c r="G16" i="5"/>
  <c r="F16" i="5"/>
  <c r="E16" i="5"/>
  <c r="P15" i="5"/>
  <c r="O15" i="5"/>
  <c r="N15" i="5"/>
  <c r="M15" i="5"/>
  <c r="L15" i="5"/>
  <c r="K15" i="5"/>
  <c r="J15" i="5"/>
  <c r="I15" i="5"/>
  <c r="H15" i="5"/>
  <c r="G15" i="5"/>
  <c r="F15" i="5"/>
  <c r="E15" i="5"/>
  <c r="P8" i="5"/>
  <c r="F8" i="5"/>
  <c r="G8" i="5"/>
  <c r="H8" i="5"/>
  <c r="I8" i="5"/>
  <c r="J8" i="5"/>
  <c r="K8" i="5"/>
  <c r="L8" i="5"/>
  <c r="M8" i="5"/>
  <c r="N8" i="5"/>
  <c r="O8" i="5"/>
  <c r="F9" i="5"/>
  <c r="G9" i="5"/>
  <c r="H9" i="5"/>
  <c r="I9" i="5"/>
  <c r="J9" i="5"/>
  <c r="K9" i="5"/>
  <c r="L9" i="5"/>
  <c r="M9" i="5"/>
  <c r="N9" i="5"/>
  <c r="O9" i="5"/>
  <c r="P9" i="5"/>
  <c r="F10" i="5"/>
  <c r="G10" i="5"/>
  <c r="H10" i="5"/>
  <c r="I10" i="5"/>
  <c r="J10" i="5"/>
  <c r="K10" i="5"/>
  <c r="L10" i="5"/>
  <c r="M10" i="5"/>
  <c r="N10" i="5"/>
  <c r="O10" i="5"/>
  <c r="P10" i="5"/>
  <c r="F11" i="5"/>
  <c r="G11" i="5"/>
  <c r="H11" i="5"/>
  <c r="I11" i="5"/>
  <c r="J11" i="5"/>
  <c r="K11" i="5"/>
  <c r="L11" i="5"/>
  <c r="M11" i="5"/>
  <c r="N11" i="5"/>
  <c r="O11" i="5"/>
  <c r="P11" i="5"/>
  <c r="F12" i="5"/>
  <c r="G12" i="5"/>
  <c r="H12" i="5"/>
  <c r="I12" i="5"/>
  <c r="J12" i="5"/>
  <c r="K12" i="5"/>
  <c r="L12" i="5"/>
  <c r="M12" i="5"/>
  <c r="N12" i="5"/>
  <c r="O12" i="5"/>
  <c r="P12" i="5"/>
  <c r="E9" i="5"/>
  <c r="E10" i="5"/>
  <c r="E11" i="5"/>
  <c r="E12" i="5"/>
  <c r="E8" i="5"/>
  <c r="U43" i="23" l="1"/>
  <c r="U10" i="23"/>
  <c r="U73" i="23"/>
  <c r="U16" i="23"/>
  <c r="U79" i="23"/>
  <c r="U36" i="23"/>
  <c r="U40" i="23"/>
  <c r="U85" i="23"/>
  <c r="U108" i="23"/>
  <c r="U21" i="23"/>
  <c r="I22" i="23"/>
  <c r="U89" i="23"/>
  <c r="U111" i="23"/>
  <c r="U64" i="23"/>
  <c r="U68" i="23"/>
  <c r="U72" i="23"/>
  <c r="J113" i="23"/>
  <c r="U24" i="23"/>
  <c r="U31" i="23"/>
  <c r="U9" i="23"/>
  <c r="S9" i="23"/>
  <c r="J80" i="23"/>
  <c r="U93" i="23"/>
  <c r="U15" i="23"/>
  <c r="U46" i="23"/>
  <c r="U50" i="23"/>
  <c r="U54" i="23"/>
  <c r="U58" i="23"/>
  <c r="U99" i="23"/>
  <c r="U105" i="23"/>
  <c r="N22" i="23"/>
  <c r="U78" i="23"/>
  <c r="S8" i="23"/>
  <c r="U8" i="23"/>
  <c r="U12" i="23"/>
  <c r="H17" i="23"/>
  <c r="O22" i="23"/>
  <c r="U35" i="23"/>
  <c r="U39" i="23"/>
  <c r="U84" i="23"/>
  <c r="U88" i="23"/>
  <c r="U92" i="23"/>
  <c r="F13" i="23"/>
  <c r="P22" i="23"/>
  <c r="U45" i="23"/>
  <c r="U49" i="23"/>
  <c r="U53" i="23"/>
  <c r="U57" i="23"/>
  <c r="U61" i="23"/>
  <c r="U98" i="23"/>
  <c r="U102" i="23"/>
  <c r="G13" i="23"/>
  <c r="U20" i="23"/>
  <c r="U67" i="23"/>
  <c r="U71" i="23"/>
  <c r="I113" i="23"/>
  <c r="U77" i="23"/>
  <c r="U11" i="23"/>
  <c r="U34" i="23"/>
  <c r="U38" i="23"/>
  <c r="U83" i="23"/>
  <c r="U87" i="23"/>
  <c r="U91" i="23"/>
  <c r="M17" i="23"/>
  <c r="U44" i="23"/>
  <c r="U48" i="23"/>
  <c r="U52" i="23"/>
  <c r="U56" i="23"/>
  <c r="U60" i="23"/>
  <c r="U97" i="23"/>
  <c r="U101" i="23"/>
  <c r="L113" i="23"/>
  <c r="S8" i="5"/>
  <c r="U19" i="23"/>
  <c r="U66" i="23"/>
  <c r="U70" i="23"/>
  <c r="L13" i="23"/>
  <c r="U32" i="23"/>
  <c r="U76" i="23"/>
  <c r="N113" i="23"/>
  <c r="E160" i="23"/>
  <c r="K160" i="23"/>
  <c r="L160" i="23"/>
  <c r="O160" i="23"/>
  <c r="F160" i="23"/>
  <c r="S108" i="23"/>
  <c r="S109" i="23" s="1"/>
  <c r="I29" i="11" s="1"/>
  <c r="H160" i="23"/>
  <c r="J22" i="23"/>
  <c r="K80" i="23"/>
  <c r="S98" i="23"/>
  <c r="S102" i="23"/>
  <c r="I160" i="23"/>
  <c r="G22" i="23"/>
  <c r="J160" i="23"/>
  <c r="S53" i="23"/>
  <c r="J74" i="23"/>
  <c r="S77" i="23"/>
  <c r="H113" i="23"/>
  <c r="S97" i="23"/>
  <c r="S101" i="23"/>
  <c r="M160" i="23"/>
  <c r="H80" i="23"/>
  <c r="N160" i="23"/>
  <c r="S99" i="23"/>
  <c r="E94" i="23"/>
  <c r="M113" i="23"/>
  <c r="E113" i="23"/>
  <c r="P160" i="23"/>
  <c r="E25" i="23"/>
  <c r="S96" i="23"/>
  <c r="S100" i="23"/>
  <c r="E17" i="23"/>
  <c r="I80" i="23"/>
  <c r="P113" i="23"/>
  <c r="G103" i="23"/>
  <c r="O94" i="23"/>
  <c r="S93" i="23"/>
  <c r="P94" i="23"/>
  <c r="S78" i="23"/>
  <c r="M74" i="23"/>
  <c r="H62" i="23"/>
  <c r="I13" i="23"/>
  <c r="I27" i="23" s="1"/>
  <c r="S16" i="23"/>
  <c r="K22" i="23"/>
  <c r="S65" i="23"/>
  <c r="F103" i="23"/>
  <c r="S51" i="23"/>
  <c r="N80" i="23"/>
  <c r="N94" i="23"/>
  <c r="S36" i="23"/>
  <c r="S50" i="23"/>
  <c r="H74" i="23"/>
  <c r="S73" i="23"/>
  <c r="O80" i="23"/>
  <c r="J17" i="23"/>
  <c r="H94" i="23"/>
  <c r="S90" i="23"/>
  <c r="G33" i="23"/>
  <c r="G41" i="23" s="1"/>
  <c r="K62" i="23"/>
  <c r="S86" i="23"/>
  <c r="S89" i="23"/>
  <c r="S12" i="23"/>
  <c r="H33" i="23"/>
  <c r="H41" i="23" s="1"/>
  <c r="S46" i="23"/>
  <c r="S85" i="23"/>
  <c r="I33" i="23"/>
  <c r="I41" i="23" s="1"/>
  <c r="S45" i="23"/>
  <c r="S57" i="23"/>
  <c r="I62" i="23"/>
  <c r="S68" i="23"/>
  <c r="H13" i="23"/>
  <c r="H27" i="23" s="1"/>
  <c r="L17" i="23"/>
  <c r="P62" i="23"/>
  <c r="S84" i="23"/>
  <c r="S92" i="23"/>
  <c r="K103" i="23"/>
  <c r="S60" i="23"/>
  <c r="S61" i="23"/>
  <c r="P74" i="23"/>
  <c r="S38" i="23"/>
  <c r="S48" i="23"/>
  <c r="S70" i="23"/>
  <c r="M94" i="23"/>
  <c r="N13" i="23"/>
  <c r="P17" i="23"/>
  <c r="S37" i="23"/>
  <c r="Q115" i="23"/>
  <c r="F80" i="23"/>
  <c r="O103" i="23"/>
  <c r="O13" i="23"/>
  <c r="S20" i="23"/>
  <c r="S56" i="23"/>
  <c r="G80" i="23"/>
  <c r="P103" i="23"/>
  <c r="S71" i="23"/>
  <c r="P13" i="23"/>
  <c r="S10" i="23"/>
  <c r="S66" i="23"/>
  <c r="E13" i="23"/>
  <c r="S58" i="23"/>
  <c r="E106" i="23"/>
  <c r="S105" i="23"/>
  <c r="S106" i="23" s="1"/>
  <c r="I28" i="11" s="1"/>
  <c r="S111" i="23"/>
  <c r="G113" i="23"/>
  <c r="M13" i="23"/>
  <c r="L62" i="23"/>
  <c r="S72" i="23"/>
  <c r="S52" i="23"/>
  <c r="K74" i="23"/>
  <c r="S67" i="23"/>
  <c r="E74" i="23"/>
  <c r="S54" i="23"/>
  <c r="S59" i="23"/>
  <c r="L74" i="23"/>
  <c r="S69" i="23"/>
  <c r="I94" i="23"/>
  <c r="N103" i="23"/>
  <c r="E109" i="23"/>
  <c r="F22" i="23"/>
  <c r="S19" i="23"/>
  <c r="S21" i="23"/>
  <c r="S31" i="23"/>
  <c r="G62" i="23"/>
  <c r="O62" i="23"/>
  <c r="S47" i="23"/>
  <c r="S64" i="23"/>
  <c r="I74" i="23"/>
  <c r="F94" i="23"/>
  <c r="H103" i="23"/>
  <c r="S15" i="23"/>
  <c r="F17" i="23"/>
  <c r="Q27" i="23"/>
  <c r="S32" i="23"/>
  <c r="J41" i="23"/>
  <c r="S49" i="23"/>
  <c r="S79" i="23"/>
  <c r="G94" i="23"/>
  <c r="K13" i="23"/>
  <c r="S11" i="23"/>
  <c r="G17" i="23"/>
  <c r="O17" i="23"/>
  <c r="L22" i="23"/>
  <c r="M33" i="23"/>
  <c r="M41" i="23" s="1"/>
  <c r="E33" i="23"/>
  <c r="L33" i="23"/>
  <c r="P33" i="23"/>
  <c r="P41" i="23" s="1"/>
  <c r="F33" i="23"/>
  <c r="O33" i="23"/>
  <c r="N33" i="23"/>
  <c r="N41" i="23" s="1"/>
  <c r="K33" i="23"/>
  <c r="K41" i="23" s="1"/>
  <c r="S39" i="23"/>
  <c r="S43" i="23"/>
  <c r="E62" i="23"/>
  <c r="L94" i="23"/>
  <c r="I103" i="23"/>
  <c r="L103" i="23"/>
  <c r="J13" i="23"/>
  <c r="E22" i="23"/>
  <c r="M22" i="23"/>
  <c r="S24" i="23"/>
  <c r="S25" i="23" s="1"/>
  <c r="I17" i="11" s="1"/>
  <c r="S34" i="23"/>
  <c r="J62" i="23"/>
  <c r="M62" i="23"/>
  <c r="S55" i="23"/>
  <c r="L80" i="23"/>
  <c r="P80" i="23"/>
  <c r="S82" i="23"/>
  <c r="S87" i="23"/>
  <c r="J103" i="23"/>
  <c r="E103" i="23"/>
  <c r="M103" i="23"/>
  <c r="S44" i="23"/>
  <c r="F74" i="23"/>
  <c r="N74" i="23"/>
  <c r="E80" i="23"/>
  <c r="S76" i="23"/>
  <c r="M80" i="23"/>
  <c r="S91" i="23"/>
  <c r="L41" i="23"/>
  <c r="F62" i="23"/>
  <c r="N62" i="23"/>
  <c r="G74" i="23"/>
  <c r="O74" i="23"/>
  <c r="J94" i="23"/>
  <c r="S83" i="23"/>
  <c r="S88" i="23"/>
  <c r="S112" i="23"/>
  <c r="K17" i="23"/>
  <c r="S35" i="23"/>
  <c r="S40" i="23"/>
  <c r="K94" i="23"/>
  <c r="K113" i="23"/>
  <c r="G27" i="23" l="1"/>
  <c r="S22" i="23"/>
  <c r="I16" i="11" s="1"/>
  <c r="U17" i="23"/>
  <c r="M27" i="23"/>
  <c r="S103" i="23"/>
  <c r="I27" i="11" s="1"/>
  <c r="U80" i="23"/>
  <c r="F25" i="11" s="1"/>
  <c r="U22" i="23"/>
  <c r="U25" i="23"/>
  <c r="F17" i="11" s="1"/>
  <c r="U103" i="23"/>
  <c r="U62" i="23"/>
  <c r="F23" i="11" s="1"/>
  <c r="U113" i="23"/>
  <c r="F30" i="11" s="1"/>
  <c r="U94" i="23"/>
  <c r="F26" i="11" s="1"/>
  <c r="U109" i="23"/>
  <c r="F29" i="11" s="1"/>
  <c r="U74" i="23"/>
  <c r="F24" i="11" s="1"/>
  <c r="L27" i="23"/>
  <c r="U106" i="23"/>
  <c r="F28" i="11" s="1"/>
  <c r="N27" i="23"/>
  <c r="U13" i="23"/>
  <c r="F14" i="11" s="1"/>
  <c r="U33" i="23"/>
  <c r="E27" i="23"/>
  <c r="F16" i="11"/>
  <c r="J27" i="23"/>
  <c r="F15" i="11"/>
  <c r="F27" i="11"/>
  <c r="Q117" i="23"/>
  <c r="Q120" i="23" s="1"/>
  <c r="Q160" i="23"/>
  <c r="P27" i="23"/>
  <c r="O27" i="23"/>
  <c r="H115" i="23"/>
  <c r="H117" i="23" s="1"/>
  <c r="H120" i="23" s="1"/>
  <c r="H138" i="23" s="1"/>
  <c r="G115" i="23"/>
  <c r="G117" i="23" s="1"/>
  <c r="G120" i="23" s="1"/>
  <c r="G138" i="23" s="1"/>
  <c r="P115" i="23"/>
  <c r="M115" i="23"/>
  <c r="M117" i="23" s="1"/>
  <c r="M120" i="23" s="1"/>
  <c r="M138" i="23" s="1"/>
  <c r="I115" i="23"/>
  <c r="I117" i="23" s="1"/>
  <c r="I120" i="23" s="1"/>
  <c r="I138" i="23" s="1"/>
  <c r="N115" i="23"/>
  <c r="L115" i="23"/>
  <c r="S17" i="23"/>
  <c r="I15" i="11" s="1"/>
  <c r="F41" i="23"/>
  <c r="F115" i="23" s="1"/>
  <c r="F27" i="23"/>
  <c r="K27" i="23"/>
  <c r="S80" i="23"/>
  <c r="I25" i="11" s="1"/>
  <c r="J115" i="23"/>
  <c r="J117" i="23" s="1"/>
  <c r="J120" i="23" s="1"/>
  <c r="J138" i="23" s="1"/>
  <c r="K115" i="23"/>
  <c r="S62" i="23"/>
  <c r="I23" i="11" s="1"/>
  <c r="S33" i="23"/>
  <c r="S41" i="23" s="1"/>
  <c r="I22" i="11" s="1"/>
  <c r="E41" i="23"/>
  <c r="U41" i="23" s="1"/>
  <c r="O41" i="23"/>
  <c r="O115" i="23" s="1"/>
  <c r="S94" i="23"/>
  <c r="I26" i="11" s="1"/>
  <c r="S13" i="23"/>
  <c r="S74" i="23"/>
  <c r="I24" i="11" s="1"/>
  <c r="S113" i="23"/>
  <c r="I30" i="11" s="1"/>
  <c r="N117" i="23" l="1"/>
  <c r="N120" i="23" s="1"/>
  <c r="N138" i="23" s="1"/>
  <c r="L117" i="23"/>
  <c r="L120" i="23" s="1"/>
  <c r="L138" i="23" s="1"/>
  <c r="U27" i="23"/>
  <c r="P117" i="23"/>
  <c r="P120" i="23" s="1"/>
  <c r="P138" i="23" s="1"/>
  <c r="E115" i="23"/>
  <c r="U115" i="23" s="1"/>
  <c r="F22" i="11"/>
  <c r="F32" i="11" s="1"/>
  <c r="S27" i="23"/>
  <c r="I14" i="11"/>
  <c r="I19" i="11" s="1"/>
  <c r="I32" i="11"/>
  <c r="O117" i="23"/>
  <c r="O120" i="23" s="1"/>
  <c r="O138" i="23" s="1"/>
  <c r="S115" i="23"/>
  <c r="K117" i="23"/>
  <c r="K120" i="23" s="1"/>
  <c r="K138" i="23" s="1"/>
  <c r="F117" i="23"/>
  <c r="F120" i="23" s="1"/>
  <c r="F138" i="23" s="1"/>
  <c r="S117" i="23" l="1"/>
  <c r="I34" i="11"/>
  <c r="I37" i="11" s="1"/>
  <c r="I41" i="11" s="1"/>
  <c r="E117" i="23"/>
  <c r="U117" i="23" s="1"/>
  <c r="F107" i="4"/>
  <c r="G107" i="4"/>
  <c r="K113" i="3"/>
  <c r="J113" i="3"/>
  <c r="K111" i="3"/>
  <c r="J111" i="3"/>
  <c r="K110" i="3"/>
  <c r="J110" i="3"/>
  <c r="K109" i="3"/>
  <c r="J109" i="3"/>
  <c r="K108" i="3"/>
  <c r="J108" i="3"/>
  <c r="K107" i="3"/>
  <c r="J107" i="3"/>
  <c r="K106" i="3"/>
  <c r="J106" i="3"/>
  <c r="K105" i="3"/>
  <c r="J105" i="3"/>
  <c r="K104" i="3"/>
  <c r="J104" i="3"/>
  <c r="K99" i="3"/>
  <c r="J99" i="3"/>
  <c r="K98" i="3"/>
  <c r="H98" i="3" s="1"/>
  <c r="J98" i="3"/>
  <c r="K97" i="3"/>
  <c r="J97" i="3"/>
  <c r="K94" i="3"/>
  <c r="J94" i="3"/>
  <c r="K93" i="3"/>
  <c r="J93" i="3"/>
  <c r="K92" i="3"/>
  <c r="J92" i="3"/>
  <c r="Y92" i="3" s="1"/>
  <c r="K81" i="3"/>
  <c r="J81" i="3"/>
  <c r="K79" i="3"/>
  <c r="J79" i="3"/>
  <c r="K78" i="3"/>
  <c r="J78" i="3"/>
  <c r="K77" i="3"/>
  <c r="J77" i="3"/>
  <c r="K76" i="3"/>
  <c r="J76" i="3"/>
  <c r="K75" i="3"/>
  <c r="J75" i="3"/>
  <c r="K74" i="3"/>
  <c r="J74" i="3"/>
  <c r="K73" i="3"/>
  <c r="J73" i="3"/>
  <c r="K72" i="3"/>
  <c r="J72" i="3"/>
  <c r="K71" i="3"/>
  <c r="J71" i="3"/>
  <c r="K70" i="3"/>
  <c r="J70" i="3"/>
  <c r="K65" i="3"/>
  <c r="J65" i="3"/>
  <c r="J62" i="3"/>
  <c r="K61" i="3"/>
  <c r="J61" i="3"/>
  <c r="K60" i="3"/>
  <c r="J60" i="3"/>
  <c r="K59" i="3"/>
  <c r="J59" i="3"/>
  <c r="K58" i="3"/>
  <c r="J58" i="3"/>
  <c r="J35" i="3"/>
  <c r="J34" i="3"/>
  <c r="K33" i="3"/>
  <c r="J32" i="3"/>
  <c r="J31" i="3"/>
  <c r="J29" i="3"/>
  <c r="J28" i="3"/>
  <c r="J18" i="3"/>
  <c r="J17" i="3"/>
  <c r="K31" i="3" l="1"/>
  <c r="Y31" i="3"/>
  <c r="AA31" i="3" s="1"/>
  <c r="AC31" i="3" s="1"/>
  <c r="AE31" i="3" s="1"/>
  <c r="K29" i="3"/>
  <c r="Y29" i="3"/>
  <c r="AA29" i="3" s="1"/>
  <c r="AC29" i="3" s="1"/>
  <c r="AE29" i="3" s="1"/>
  <c r="K28" i="3"/>
  <c r="Y28" i="3"/>
  <c r="AA28" i="3" s="1"/>
  <c r="AC28" i="3" s="1"/>
  <c r="AE28" i="3" s="1"/>
  <c r="K35" i="3"/>
  <c r="Y35" i="3"/>
  <c r="AA35" i="3" s="1"/>
  <c r="AC35" i="3" s="1"/>
  <c r="AE35" i="3" s="1"/>
  <c r="K18" i="3"/>
  <c r="Y18" i="3"/>
  <c r="AA18" i="3" s="1"/>
  <c r="AC18" i="3" s="1"/>
  <c r="AE18" i="3" s="1"/>
  <c r="K34" i="3"/>
  <c r="Y34" i="3"/>
  <c r="AA34" i="3" s="1"/>
  <c r="AC34" i="3" s="1"/>
  <c r="AE34" i="3" s="1"/>
  <c r="K32" i="3"/>
  <c r="Y32" i="3"/>
  <c r="AA32" i="3" s="1"/>
  <c r="AC32" i="3" s="1"/>
  <c r="AE32" i="3" s="1"/>
  <c r="K17" i="3"/>
  <c r="Y17" i="3"/>
  <c r="AA17" i="3" s="1"/>
  <c r="AC17" i="3" s="1"/>
  <c r="AE17" i="3" s="1"/>
  <c r="E120" i="23"/>
  <c r="E138" i="23" s="1"/>
  <c r="E141" i="23" s="1"/>
  <c r="F139" i="23" s="1"/>
  <c r="F141" i="23" s="1"/>
  <c r="G139" i="23" s="1"/>
  <c r="G141" i="23" s="1"/>
  <c r="H139" i="23" s="1"/>
  <c r="H141" i="23" s="1"/>
  <c r="I139" i="23" s="1"/>
  <c r="I141" i="23" s="1"/>
  <c r="J139" i="23" s="1"/>
  <c r="J141" i="23" s="1"/>
  <c r="K139" i="23" s="1"/>
  <c r="K141" i="23" s="1"/>
  <c r="L139" i="23" s="1"/>
  <c r="L141" i="23" s="1"/>
  <c r="M139" i="23" s="1"/>
  <c r="M141" i="23" s="1"/>
  <c r="N139" i="23" s="1"/>
  <c r="N141" i="23" s="1"/>
  <c r="O139" i="23" s="1"/>
  <c r="O141" i="23" s="1"/>
  <c r="P139" i="23" s="1"/>
  <c r="P141" i="23" s="1"/>
  <c r="F39" i="16" s="1"/>
  <c r="K140" i="4"/>
  <c r="E73" i="1" s="1"/>
  <c r="E74" i="1" s="1"/>
  <c r="P140" i="4"/>
  <c r="J73" i="1" s="1"/>
  <c r="M140" i="4"/>
  <c r="G73" i="1" s="1"/>
  <c r="G74" i="1" s="1"/>
  <c r="O140" i="4"/>
  <c r="I73" i="1" s="1"/>
  <c r="I74" i="1" s="1"/>
  <c r="V140" i="4"/>
  <c r="P73" i="1" s="1"/>
  <c r="U140" i="4"/>
  <c r="O73" i="1" s="1"/>
  <c r="O74" i="1" s="1"/>
  <c r="T140" i="4"/>
  <c r="N73" i="1" s="1"/>
  <c r="N74" i="1" s="1"/>
  <c r="S140" i="4"/>
  <c r="M73" i="1" s="1"/>
  <c r="M74" i="1" s="1"/>
  <c r="R140" i="4"/>
  <c r="L73" i="1" s="1"/>
  <c r="L74" i="1" s="1"/>
  <c r="Q140" i="4"/>
  <c r="K73" i="1" s="1"/>
  <c r="K74" i="1" s="1"/>
  <c r="H107" i="4"/>
  <c r="X107" i="4" s="1"/>
  <c r="L140" i="4" l="1"/>
  <c r="F73" i="1" s="1"/>
  <c r="F74" i="1" s="1"/>
  <c r="F19" i="11" l="1"/>
  <c r="F34" i="11" s="1"/>
  <c r="F27" i="16" l="1"/>
  <c r="F26" i="16"/>
  <c r="F25" i="16"/>
  <c r="F24" i="16"/>
  <c r="F23" i="16"/>
  <c r="F22" i="16"/>
  <c r="F21" i="16"/>
  <c r="F20" i="16"/>
  <c r="F19" i="16"/>
  <c r="F12" i="16"/>
  <c r="F14" i="16"/>
  <c r="F13" i="16"/>
  <c r="F11" i="16"/>
  <c r="F29" i="16" l="1"/>
  <c r="F16" i="16"/>
  <c r="F31" i="16" l="1"/>
  <c r="F42" i="16" s="1"/>
  <c r="A1" i="23"/>
  <c r="S112" i="5" l="1"/>
  <c r="S97" i="5"/>
  <c r="S98" i="5"/>
  <c r="S99" i="5"/>
  <c r="S100" i="5"/>
  <c r="S101" i="5"/>
  <c r="S102" i="5"/>
  <c r="S83" i="5"/>
  <c r="S84" i="5"/>
  <c r="S85" i="5"/>
  <c r="S86" i="5"/>
  <c r="S87" i="5"/>
  <c r="S88" i="5"/>
  <c r="S89" i="5"/>
  <c r="S90" i="5"/>
  <c r="S91" i="5"/>
  <c r="S92" i="5"/>
  <c r="S93" i="5"/>
  <c r="S78" i="5"/>
  <c r="S79" i="5"/>
  <c r="S65" i="5"/>
  <c r="S66" i="5"/>
  <c r="S67" i="5"/>
  <c r="S68" i="5"/>
  <c r="S69" i="5"/>
  <c r="S70" i="5"/>
  <c r="S71" i="5"/>
  <c r="S72" i="5"/>
  <c r="S7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S32" i="5"/>
  <c r="S33" i="5"/>
  <c r="S34" i="5"/>
  <c r="S35" i="5"/>
  <c r="S36" i="5"/>
  <c r="S37" i="5"/>
  <c r="S38" i="5"/>
  <c r="S39" i="5"/>
  <c r="S40" i="5"/>
  <c r="S20" i="5"/>
  <c r="S21" i="5"/>
  <c r="S16" i="5"/>
  <c r="S9" i="5"/>
  <c r="S10" i="5"/>
  <c r="S11" i="5"/>
  <c r="S12" i="5"/>
  <c r="H425" i="4" l="1"/>
  <c r="H424" i="4"/>
  <c r="H423" i="4"/>
  <c r="H422" i="4"/>
  <c r="H421" i="4"/>
  <c r="H427" i="4" s="1"/>
  <c r="X427" i="4" s="1"/>
  <c r="H416" i="4"/>
  <c r="H415" i="4"/>
  <c r="H414" i="4"/>
  <c r="H413" i="4"/>
  <c r="H412" i="4"/>
  <c r="H19" i="4"/>
  <c r="H418" i="4" l="1"/>
  <c r="X418" i="4" s="1"/>
  <c r="X19" i="4"/>
  <c r="G19" i="4"/>
  <c r="I41" i="3"/>
  <c r="I13" i="3"/>
  <c r="X11" i="3"/>
  <c r="X10" i="3"/>
  <c r="Z10" i="3" s="1"/>
  <c r="I24" i="3"/>
  <c r="AA10" i="3"/>
  <c r="AC10" i="3" s="1"/>
  <c r="AE10" i="3" s="1"/>
  <c r="U64" i="1" l="1"/>
  <c r="X54" i="3"/>
  <c r="Q24" i="2" l="1"/>
  <c r="AC41" i="1" l="1"/>
  <c r="X41" i="3" l="1"/>
  <c r="X24" i="3"/>
  <c r="X13" i="3"/>
  <c r="E21" i="17" l="1"/>
  <c r="G16" i="18" s="1"/>
  <c r="F16" i="18" s="1"/>
  <c r="S15" i="1" l="1"/>
  <c r="X15" i="1" s="1"/>
  <c r="AA92" i="3" l="1"/>
  <c r="AC92" i="3" s="1"/>
  <c r="AE92" i="3" s="1"/>
  <c r="Y52" i="3"/>
  <c r="AA52" i="3" s="1"/>
  <c r="AC52" i="3" s="1"/>
  <c r="AE52" i="3" s="1"/>
  <c r="Y51" i="3"/>
  <c r="AA51" i="3" s="1"/>
  <c r="AC51" i="3" s="1"/>
  <c r="AE51" i="3" s="1"/>
  <c r="Y65" i="3"/>
  <c r="AA65" i="3" s="1"/>
  <c r="AC65" i="3" s="1"/>
  <c r="AE65" i="3" s="1"/>
  <c r="Y57" i="3"/>
  <c r="Y70" i="3"/>
  <c r="K87" i="3"/>
  <c r="J87" i="3"/>
  <c r="Y87" i="3" s="1"/>
  <c r="AA87" i="3" s="1"/>
  <c r="AC87" i="3" s="1"/>
  <c r="AE87" i="3" s="1"/>
  <c r="K86" i="3"/>
  <c r="J86" i="3"/>
  <c r="Y86" i="3" s="1"/>
  <c r="AA86" i="3" s="1"/>
  <c r="AC86" i="3" s="1"/>
  <c r="AE86" i="3" s="1"/>
  <c r="AA70" i="3" l="1"/>
  <c r="AC70" i="3" s="1"/>
  <c r="AE70" i="3" s="1"/>
  <c r="AA57" i="3"/>
  <c r="AC57" i="3" s="1"/>
  <c r="AE57" i="3" s="1"/>
  <c r="Y99" i="3"/>
  <c r="AA99" i="3" s="1"/>
  <c r="AC99" i="3" s="1"/>
  <c r="AE99" i="3" s="1"/>
  <c r="J44" i="3"/>
  <c r="L48" i="3" s="1"/>
  <c r="E34" i="1" s="1"/>
  <c r="J27" i="3"/>
  <c r="M146" i="3" s="1"/>
  <c r="F49" i="1" s="1"/>
  <c r="X27" i="3"/>
  <c r="Z27" i="3" s="1"/>
  <c r="AB27" i="3" s="1"/>
  <c r="AD27" i="3" s="1"/>
  <c r="X39" i="3"/>
  <c r="Z39" i="3" s="1"/>
  <c r="AB39" i="3" s="1"/>
  <c r="AD39" i="3" s="1"/>
  <c r="X16" i="3"/>
  <c r="Z16" i="3" s="1"/>
  <c r="AB16" i="3" s="1"/>
  <c r="AD16" i="3" s="1"/>
  <c r="J16" i="3"/>
  <c r="L145" i="3" s="1"/>
  <c r="AB10" i="3"/>
  <c r="AD10" i="3" s="1"/>
  <c r="L41" i="3" l="1"/>
  <c r="L150" i="3" s="1"/>
  <c r="E52" i="1" s="1"/>
  <c r="L146" i="3"/>
  <c r="E49" i="1" s="1"/>
  <c r="E48" i="1"/>
  <c r="L24" i="3"/>
  <c r="L142" i="3"/>
  <c r="O48" i="3"/>
  <c r="H34" i="1" s="1"/>
  <c r="R48" i="3"/>
  <c r="K34" i="1" s="1"/>
  <c r="U48" i="3"/>
  <c r="N34" i="1" s="1"/>
  <c r="N48" i="3"/>
  <c r="G34" i="1" s="1"/>
  <c r="S48" i="3"/>
  <c r="L34" i="1" s="1"/>
  <c r="W48" i="3"/>
  <c r="V48" i="3"/>
  <c r="O34" i="1" s="1"/>
  <c r="P48" i="3"/>
  <c r="I34" i="1" s="1"/>
  <c r="Q48" i="3"/>
  <c r="J34" i="1" s="1"/>
  <c r="M48" i="3"/>
  <c r="F34" i="1" s="1"/>
  <c r="T48" i="3"/>
  <c r="M34" i="1" s="1"/>
  <c r="S146" i="3"/>
  <c r="L49" i="1" s="1"/>
  <c r="T146" i="3"/>
  <c r="M49" i="1" s="1"/>
  <c r="U146" i="3"/>
  <c r="N49" i="1" s="1"/>
  <c r="V146" i="3"/>
  <c r="O49" i="1" s="1"/>
  <c r="W146" i="3"/>
  <c r="P49" i="1" s="1"/>
  <c r="N146" i="3"/>
  <c r="G49" i="1" s="1"/>
  <c r="Q146" i="3"/>
  <c r="J49" i="1" s="1"/>
  <c r="R146" i="3"/>
  <c r="K49" i="1" s="1"/>
  <c r="O146" i="3"/>
  <c r="H49" i="1" s="1"/>
  <c r="P146" i="3"/>
  <c r="I49" i="1" s="1"/>
  <c r="Y16" i="3"/>
  <c r="AA16" i="3" s="1"/>
  <c r="AC16" i="3" s="1"/>
  <c r="AE16" i="3" s="1"/>
  <c r="P145" i="3"/>
  <c r="I48" i="1" s="1"/>
  <c r="S145" i="3"/>
  <c r="L48" i="1" s="1"/>
  <c r="U145" i="3"/>
  <c r="N48" i="1" s="1"/>
  <c r="V145" i="3"/>
  <c r="O48" i="1" s="1"/>
  <c r="W145" i="3"/>
  <c r="T145" i="3"/>
  <c r="M48" i="1" s="1"/>
  <c r="O145" i="3"/>
  <c r="H48" i="1" s="1"/>
  <c r="Q145" i="3"/>
  <c r="J48" i="1" s="1"/>
  <c r="M145" i="3"/>
  <c r="F48" i="1" s="1"/>
  <c r="N145" i="3"/>
  <c r="G48" i="1" s="1"/>
  <c r="R145" i="3"/>
  <c r="K48" i="1" s="1"/>
  <c r="U24" i="3"/>
  <c r="N32" i="1" s="1"/>
  <c r="N24" i="3"/>
  <c r="G32" i="1" s="1"/>
  <c r="V24" i="3"/>
  <c r="O32" i="1" s="1"/>
  <c r="M24" i="3"/>
  <c r="F32" i="1" s="1"/>
  <c r="T24" i="3"/>
  <c r="M32" i="1" s="1"/>
  <c r="O24" i="3"/>
  <c r="H32" i="1" s="1"/>
  <c r="P24" i="3"/>
  <c r="I32" i="1" s="1"/>
  <c r="Q24" i="3"/>
  <c r="J32" i="1" s="1"/>
  <c r="R24" i="3"/>
  <c r="K32" i="1" s="1"/>
  <c r="S24" i="3"/>
  <c r="L32" i="1" s="1"/>
  <c r="W24" i="3"/>
  <c r="V41" i="3"/>
  <c r="O33" i="1" s="1"/>
  <c r="R41" i="3"/>
  <c r="K33" i="1" s="1"/>
  <c r="O41" i="3"/>
  <c r="W41" i="3"/>
  <c r="T41" i="3"/>
  <c r="M33" i="1" s="1"/>
  <c r="P41" i="3"/>
  <c r="I33" i="1" s="1"/>
  <c r="M41" i="3"/>
  <c r="F33" i="1" s="1"/>
  <c r="S41" i="3"/>
  <c r="L33" i="1" s="1"/>
  <c r="Q41" i="3"/>
  <c r="N41" i="3"/>
  <c r="G33" i="1" s="1"/>
  <c r="U41" i="3"/>
  <c r="N33" i="1" s="1"/>
  <c r="K27" i="3"/>
  <c r="Y27" i="3"/>
  <c r="AA27" i="3" s="1"/>
  <c r="AC27" i="3" s="1"/>
  <c r="AE27" i="3" s="1"/>
  <c r="K44" i="3"/>
  <c r="Y44" i="3"/>
  <c r="AA44" i="3" s="1"/>
  <c r="AC44" i="3" s="1"/>
  <c r="AE44" i="3" s="1"/>
  <c r="AA39" i="3"/>
  <c r="K152" i="3"/>
  <c r="K16" i="3"/>
  <c r="M32" i="17" s="1"/>
  <c r="M48" i="17" s="1"/>
  <c r="G126" i="18" s="1"/>
  <c r="F126" i="18" s="1"/>
  <c r="E33" i="1" l="1"/>
  <c r="U48" i="1"/>
  <c r="U34" i="1"/>
  <c r="G41" i="1"/>
  <c r="O41" i="1"/>
  <c r="L143" i="3"/>
  <c r="E46" i="1"/>
  <c r="N41" i="1"/>
  <c r="I41" i="1"/>
  <c r="F41" i="1"/>
  <c r="O150" i="3"/>
  <c r="H52" i="1" s="1"/>
  <c r="H33" i="1"/>
  <c r="H41" i="1" s="1"/>
  <c r="L41" i="1"/>
  <c r="M41" i="1"/>
  <c r="U49" i="1"/>
  <c r="Q150" i="3"/>
  <c r="J52" i="1" s="1"/>
  <c r="J33" i="1"/>
  <c r="J41" i="1" s="1"/>
  <c r="K41" i="1"/>
  <c r="L149" i="3"/>
  <c r="E51" i="1" s="1"/>
  <c r="E32" i="1"/>
  <c r="L147" i="3"/>
  <c r="P150" i="3"/>
  <c r="I52" i="1" s="1"/>
  <c r="R150" i="3"/>
  <c r="K52" i="1" s="1"/>
  <c r="T116" i="3"/>
  <c r="N150" i="3"/>
  <c r="G52" i="1" s="1"/>
  <c r="L116" i="3"/>
  <c r="S150" i="3"/>
  <c r="L52" i="1" s="1"/>
  <c r="Q142" i="3"/>
  <c r="Q116" i="3"/>
  <c r="P142" i="3"/>
  <c r="P116" i="3"/>
  <c r="V116" i="3"/>
  <c r="W116" i="3"/>
  <c r="S142" i="3"/>
  <c r="S116" i="3"/>
  <c r="N142" i="3"/>
  <c r="N116" i="3"/>
  <c r="U116" i="3"/>
  <c r="R142" i="3"/>
  <c r="R116" i="3"/>
  <c r="O142" i="3"/>
  <c r="O116" i="3"/>
  <c r="M142" i="3"/>
  <c r="M116" i="3"/>
  <c r="M150" i="3"/>
  <c r="F52" i="1" s="1"/>
  <c r="S149" i="3"/>
  <c r="L51" i="1" s="1"/>
  <c r="Q149" i="3"/>
  <c r="J51" i="1" s="1"/>
  <c r="P149" i="3"/>
  <c r="R149" i="3"/>
  <c r="K51" i="1" s="1"/>
  <c r="O149" i="3"/>
  <c r="K153" i="3"/>
  <c r="L153" i="3" s="1"/>
  <c r="E54" i="1" s="1"/>
  <c r="M149" i="3"/>
  <c r="N149" i="3"/>
  <c r="K154" i="3"/>
  <c r="O154" i="3" s="1"/>
  <c r="H55" i="1" s="1"/>
  <c r="T142" i="3"/>
  <c r="M46" i="1" s="1"/>
  <c r="V142" i="3"/>
  <c r="O46" i="1" s="1"/>
  <c r="P34" i="1"/>
  <c r="W142" i="3"/>
  <c r="U142" i="3"/>
  <c r="N46" i="1" s="1"/>
  <c r="N152" i="3"/>
  <c r="G53" i="1" s="1"/>
  <c r="O152" i="3"/>
  <c r="H53" i="1" s="1"/>
  <c r="P152" i="3"/>
  <c r="I53" i="1" s="1"/>
  <c r="Q152" i="3"/>
  <c r="J53" i="1" s="1"/>
  <c r="R152" i="3"/>
  <c r="K53" i="1" s="1"/>
  <c r="S152" i="3"/>
  <c r="L53" i="1" s="1"/>
  <c r="M152" i="3"/>
  <c r="F53" i="1" s="1"/>
  <c r="T152" i="3"/>
  <c r="M53" i="1" s="1"/>
  <c r="U152" i="3"/>
  <c r="N53" i="1" s="1"/>
  <c r="V152" i="3"/>
  <c r="O53" i="1" s="1"/>
  <c r="W152" i="3"/>
  <c r="P53" i="1" s="1"/>
  <c r="L152" i="3"/>
  <c r="E53" i="1" s="1"/>
  <c r="T149" i="3"/>
  <c r="M51" i="1" s="1"/>
  <c r="P147" i="3"/>
  <c r="V149" i="3"/>
  <c r="O51" i="1" s="1"/>
  <c r="T150" i="3"/>
  <c r="M52" i="1" s="1"/>
  <c r="U149" i="3"/>
  <c r="N51" i="1" s="1"/>
  <c r="R147" i="3"/>
  <c r="N147" i="3"/>
  <c r="M147" i="3"/>
  <c r="Q147" i="3"/>
  <c r="W150" i="3"/>
  <c r="P52" i="1" s="1"/>
  <c r="P33" i="1"/>
  <c r="O147" i="3"/>
  <c r="P32" i="1"/>
  <c r="W149" i="3"/>
  <c r="T147" i="3"/>
  <c r="W147" i="3"/>
  <c r="P48" i="1"/>
  <c r="V147" i="3"/>
  <c r="V150" i="3"/>
  <c r="O52" i="1" s="1"/>
  <c r="U147" i="3"/>
  <c r="U150" i="3"/>
  <c r="N52" i="1" s="1"/>
  <c r="S147" i="3"/>
  <c r="AC39" i="3"/>
  <c r="AE39" i="3" s="1"/>
  <c r="AA41" i="3"/>
  <c r="H36" i="2"/>
  <c r="J36" i="2" s="1"/>
  <c r="L36" i="2" s="1"/>
  <c r="N36" i="2" s="1"/>
  <c r="U53" i="1" l="1"/>
  <c r="N143" i="3"/>
  <c r="G46" i="1"/>
  <c r="M143" i="3"/>
  <c r="F46" i="1"/>
  <c r="P143" i="3"/>
  <c r="I46" i="1"/>
  <c r="S143" i="3"/>
  <c r="L46" i="1"/>
  <c r="Q143" i="3"/>
  <c r="J46" i="1"/>
  <c r="O143" i="3"/>
  <c r="H46" i="1"/>
  <c r="R143" i="3"/>
  <c r="K46" i="1"/>
  <c r="U52" i="1"/>
  <c r="U33" i="1"/>
  <c r="Q151" i="3"/>
  <c r="E41" i="1"/>
  <c r="U32" i="1"/>
  <c r="S151" i="3"/>
  <c r="R151" i="3"/>
  <c r="P151" i="3"/>
  <c r="I51" i="1"/>
  <c r="O151" i="3"/>
  <c r="H51" i="1"/>
  <c r="N151" i="3"/>
  <c r="G51" i="1"/>
  <c r="M151" i="3"/>
  <c r="F51" i="1"/>
  <c r="S153" i="3"/>
  <c r="L54" i="1" s="1"/>
  <c r="P153" i="3"/>
  <c r="I54" i="1" s="1"/>
  <c r="O153" i="3"/>
  <c r="Q153" i="3"/>
  <c r="J54" i="1" s="1"/>
  <c r="N153" i="3"/>
  <c r="G54" i="1" s="1"/>
  <c r="P154" i="3"/>
  <c r="I55" i="1" s="1"/>
  <c r="M153" i="3"/>
  <c r="F54" i="1" s="1"/>
  <c r="R153" i="3"/>
  <c r="K54" i="1" s="1"/>
  <c r="N154" i="3"/>
  <c r="M154" i="3"/>
  <c r="R154" i="3"/>
  <c r="L154" i="3"/>
  <c r="E55" i="1" s="1"/>
  <c r="W154" i="3"/>
  <c r="P55" i="1" s="1"/>
  <c r="U154" i="3"/>
  <c r="N55" i="1" s="1"/>
  <c r="U153" i="3"/>
  <c r="N54" i="1" s="1"/>
  <c r="W153" i="3"/>
  <c r="P54" i="1" s="1"/>
  <c r="V154" i="3"/>
  <c r="O55" i="1" s="1"/>
  <c r="V153" i="3"/>
  <c r="O54" i="1" s="1"/>
  <c r="Q154" i="3"/>
  <c r="T154" i="3"/>
  <c r="M55" i="1" s="1"/>
  <c r="T153" i="3"/>
  <c r="S154" i="3"/>
  <c r="L55" i="1" s="1"/>
  <c r="U143" i="3"/>
  <c r="P46" i="1"/>
  <c r="W143" i="3"/>
  <c r="V143" i="3"/>
  <c r="T143" i="3"/>
  <c r="U151" i="3"/>
  <c r="P51" i="1"/>
  <c r="W151" i="3"/>
  <c r="V151" i="3"/>
  <c r="T151" i="3"/>
  <c r="F427" i="4"/>
  <c r="F418" i="4"/>
  <c r="F140" i="4"/>
  <c r="F125" i="4"/>
  <c r="F118" i="4"/>
  <c r="F81" i="4"/>
  <c r="F74" i="4"/>
  <c r="F55" i="4"/>
  <c r="F34" i="4"/>
  <c r="F28" i="4"/>
  <c r="F19" i="4"/>
  <c r="U46" i="1" l="1"/>
  <c r="U51" i="1"/>
  <c r="L155" i="3"/>
  <c r="Q155" i="3"/>
  <c r="J55" i="1"/>
  <c r="M155" i="3"/>
  <c r="F55" i="1"/>
  <c r="N155" i="3"/>
  <c r="G55" i="1"/>
  <c r="R155" i="3"/>
  <c r="K55" i="1"/>
  <c r="T155" i="3"/>
  <c r="M54" i="1"/>
  <c r="O155" i="3"/>
  <c r="H54" i="1"/>
  <c r="U54" i="1" s="1"/>
  <c r="S155" i="3"/>
  <c r="V155" i="3"/>
  <c r="P155" i="3"/>
  <c r="W155" i="3"/>
  <c r="U155" i="3"/>
  <c r="U55" i="1" l="1"/>
  <c r="P112" i="17" l="1"/>
  <c r="P111" i="17"/>
  <c r="P105" i="17"/>
  <c r="P106" i="17" s="1"/>
  <c r="P102" i="17"/>
  <c r="P101" i="17"/>
  <c r="P100" i="17"/>
  <c r="P99" i="17"/>
  <c r="P98" i="17"/>
  <c r="P97" i="17"/>
  <c r="P96" i="17"/>
  <c r="P93" i="17"/>
  <c r="P92" i="17"/>
  <c r="P91" i="17"/>
  <c r="P90" i="17"/>
  <c r="P88" i="17"/>
  <c r="P87" i="17"/>
  <c r="P86" i="17"/>
  <c r="P85" i="17"/>
  <c r="P84" i="17"/>
  <c r="P83" i="17"/>
  <c r="P82" i="17"/>
  <c r="P79" i="17"/>
  <c r="P78" i="17"/>
  <c r="P77" i="17"/>
  <c r="P76" i="17"/>
  <c r="P73" i="17"/>
  <c r="P72" i="17"/>
  <c r="P71" i="17"/>
  <c r="P69" i="17"/>
  <c r="P68" i="17"/>
  <c r="P66" i="17"/>
  <c r="P65" i="17"/>
  <c r="P64" i="17"/>
  <c r="P62" i="17"/>
  <c r="P41" i="17"/>
  <c r="P25" i="17"/>
  <c r="P22" i="17"/>
  <c r="P17" i="17"/>
  <c r="P13" i="17"/>
  <c r="W64" i="17"/>
  <c r="P27" i="17" l="1"/>
  <c r="P113" i="17"/>
  <c r="P80" i="17"/>
  <c r="P103" i="17"/>
  <c r="P94" i="17"/>
  <c r="Y113" i="3" l="1"/>
  <c r="AA113" i="3" s="1"/>
  <c r="AC113" i="3" s="1"/>
  <c r="AE113" i="3" s="1"/>
  <c r="Y104" i="3"/>
  <c r="AA104" i="3" s="1"/>
  <c r="AC104" i="3" s="1"/>
  <c r="AE104" i="3" s="1"/>
  <c r="C54" i="3"/>
  <c r="O5" i="1" l="1"/>
  <c r="L5" i="1"/>
  <c r="G5" i="1"/>
  <c r="N5" i="1"/>
  <c r="K5" i="1"/>
  <c r="J5" i="1"/>
  <c r="M5" i="1"/>
  <c r="I5" i="1"/>
  <c r="H5" i="1"/>
  <c r="F5" i="1"/>
  <c r="E5" i="1"/>
  <c r="E8" i="1" s="1"/>
  <c r="Y101" i="3"/>
  <c r="Y83" i="3"/>
  <c r="Y67" i="3"/>
  <c r="K54" i="3"/>
  <c r="M8" i="1" l="1"/>
  <c r="M12" i="1"/>
  <c r="M9" i="1"/>
  <c r="M10" i="1"/>
  <c r="M11" i="1"/>
  <c r="J9" i="1"/>
  <c r="J11" i="1"/>
  <c r="J12" i="1"/>
  <c r="J8" i="1"/>
  <c r="J13" i="1" s="1"/>
  <c r="J10" i="1"/>
  <c r="K10" i="1"/>
  <c r="K12" i="1"/>
  <c r="K11" i="1"/>
  <c r="K9" i="1"/>
  <c r="K8" i="1"/>
  <c r="K13" i="1" s="1"/>
  <c r="I9" i="1"/>
  <c r="I8" i="1"/>
  <c r="I11" i="1"/>
  <c r="I12" i="1"/>
  <c r="I10" i="1"/>
  <c r="N12" i="1"/>
  <c r="N8" i="1"/>
  <c r="N10" i="1"/>
  <c r="N9" i="1"/>
  <c r="N11" i="1"/>
  <c r="H9" i="1"/>
  <c r="H11" i="1"/>
  <c r="H12" i="1"/>
  <c r="H8" i="1"/>
  <c r="H13" i="1" s="1"/>
  <c r="H10" i="1"/>
  <c r="G12" i="1"/>
  <c r="G9" i="1"/>
  <c r="G11" i="1"/>
  <c r="G10" i="1"/>
  <c r="G8" i="1"/>
  <c r="F9" i="1"/>
  <c r="F12" i="1"/>
  <c r="F8" i="1"/>
  <c r="F11" i="1"/>
  <c r="F10" i="1"/>
  <c r="L12" i="1"/>
  <c r="L11" i="1"/>
  <c r="L10" i="1"/>
  <c r="L8" i="1"/>
  <c r="L9" i="1"/>
  <c r="E10" i="1"/>
  <c r="E9" i="1"/>
  <c r="E11" i="1"/>
  <c r="E12" i="1"/>
  <c r="O9" i="1"/>
  <c r="O12" i="1"/>
  <c r="O11" i="1"/>
  <c r="O10" i="1"/>
  <c r="O8" i="1"/>
  <c r="L13" i="1" l="1"/>
  <c r="M13" i="1"/>
  <c r="N13" i="1"/>
  <c r="F13" i="1"/>
  <c r="F27" i="1" s="1"/>
  <c r="E13" i="1"/>
  <c r="E27" i="1" s="1"/>
  <c r="O13" i="1"/>
  <c r="G13" i="1"/>
  <c r="I13" i="1"/>
  <c r="U9" i="1"/>
  <c r="U12" i="1"/>
  <c r="U10" i="1"/>
  <c r="G27" i="1"/>
  <c r="U11" i="1"/>
  <c r="N27" i="1"/>
  <c r="H27" i="1"/>
  <c r="L27" i="1"/>
  <c r="U8" i="1"/>
  <c r="U13" i="1" l="1"/>
  <c r="E14" i="11" s="1"/>
  <c r="G14" i="11" s="1"/>
  <c r="E41" i="17" l="1"/>
  <c r="L62" i="17"/>
  <c r="L41" i="17"/>
  <c r="F68" i="17" l="1"/>
  <c r="G68" i="17"/>
  <c r="H68" i="17"/>
  <c r="I68" i="17"/>
  <c r="J68" i="17"/>
  <c r="K68" i="17"/>
  <c r="L68" i="17"/>
  <c r="M68" i="17"/>
  <c r="N68" i="17"/>
  <c r="O68" i="17"/>
  <c r="Q68" i="17"/>
  <c r="R68" i="17"/>
  <c r="S68" i="17"/>
  <c r="T68" i="17"/>
  <c r="U68" i="17"/>
  <c r="V68" i="17"/>
  <c r="W68" i="17"/>
  <c r="X68" i="17"/>
  <c r="Y68" i="17"/>
  <c r="Z68" i="17"/>
  <c r="AA68" i="17"/>
  <c r="AB68" i="17"/>
  <c r="AC68" i="17"/>
  <c r="AD68" i="17"/>
  <c r="AE68" i="17"/>
  <c r="AF68" i="17"/>
  <c r="AG68" i="17"/>
  <c r="AH68" i="17"/>
  <c r="AI68" i="17"/>
  <c r="AJ68" i="17"/>
  <c r="AL68" i="17"/>
  <c r="AN68" i="17"/>
  <c r="AR14" i="17"/>
  <c r="AR18" i="17"/>
  <c r="AR23" i="17"/>
  <c r="AR26" i="17"/>
  <c r="AR28" i="17"/>
  <c r="AR29" i="17"/>
  <c r="AR30" i="17"/>
  <c r="AR42" i="17"/>
  <c r="AR63" i="17"/>
  <c r="AR75" i="17"/>
  <c r="AR81" i="17"/>
  <c r="AR95" i="17"/>
  <c r="AR104" i="17"/>
  <c r="AR107" i="17"/>
  <c r="AR110" i="17"/>
  <c r="AR114" i="17"/>
  <c r="AR116" i="17"/>
  <c r="AG62" i="17"/>
  <c r="AF62" i="17"/>
  <c r="AE62" i="17"/>
  <c r="AD62" i="17"/>
  <c r="AC62" i="17"/>
  <c r="AB62" i="17"/>
  <c r="AA62" i="17"/>
  <c r="Z62" i="17"/>
  <c r="Y62" i="17"/>
  <c r="X62" i="17"/>
  <c r="W62" i="17"/>
  <c r="V62" i="17"/>
  <c r="U62" i="17"/>
  <c r="T62" i="17"/>
  <c r="S62" i="17"/>
  <c r="R62" i="17"/>
  <c r="AG41" i="17"/>
  <c r="AF41" i="17"/>
  <c r="AE41" i="17"/>
  <c r="AD41" i="17"/>
  <c r="AC41" i="17"/>
  <c r="AB41" i="17"/>
  <c r="AA41" i="17"/>
  <c r="Z41" i="17"/>
  <c r="Y41" i="17"/>
  <c r="X41" i="17"/>
  <c r="W41" i="17"/>
  <c r="V41" i="17"/>
  <c r="U41" i="17"/>
  <c r="T41" i="17"/>
  <c r="S41" i="17"/>
  <c r="R41" i="17"/>
  <c r="AG25" i="17"/>
  <c r="AF25" i="17"/>
  <c r="AE25" i="17"/>
  <c r="AD25" i="17"/>
  <c r="AC25" i="17"/>
  <c r="AB25" i="17"/>
  <c r="AA25" i="17"/>
  <c r="Z25" i="17"/>
  <c r="Y25" i="17"/>
  <c r="X25" i="17"/>
  <c r="W25" i="17"/>
  <c r="V25" i="17"/>
  <c r="U25" i="17"/>
  <c r="T25" i="17"/>
  <c r="S25" i="17"/>
  <c r="R25" i="17"/>
  <c r="AG22" i="17"/>
  <c r="AE22" i="17"/>
  <c r="AA22" i="17"/>
  <c r="Y22" i="17"/>
  <c r="X22" i="17"/>
  <c r="W22" i="17"/>
  <c r="V22" i="17"/>
  <c r="U22" i="17"/>
  <c r="T22" i="17"/>
  <c r="S22" i="17"/>
  <c r="R22" i="17"/>
  <c r="AG17" i="17"/>
  <c r="AF17" i="17"/>
  <c r="AE17" i="17"/>
  <c r="AD17" i="17"/>
  <c r="AC17" i="17"/>
  <c r="AB17" i="17"/>
  <c r="Z17" i="17"/>
  <c r="X17" i="17"/>
  <c r="W17" i="17"/>
  <c r="V17" i="17"/>
  <c r="U17" i="17"/>
  <c r="T17" i="17"/>
  <c r="S17" i="17"/>
  <c r="R17" i="17"/>
  <c r="AG13" i="17"/>
  <c r="AF13" i="17"/>
  <c r="AE13" i="17"/>
  <c r="AD13" i="17"/>
  <c r="AC13" i="17"/>
  <c r="AB13" i="17"/>
  <c r="AA13" i="17"/>
  <c r="Z13" i="17"/>
  <c r="Y13" i="17"/>
  <c r="X13" i="17"/>
  <c r="W13" i="17"/>
  <c r="V13" i="17"/>
  <c r="U13" i="17"/>
  <c r="T13" i="17"/>
  <c r="S13" i="17"/>
  <c r="R13" i="17"/>
  <c r="H96" i="17"/>
  <c r="G112" i="17"/>
  <c r="F112" i="17"/>
  <c r="F111" i="17"/>
  <c r="G105" i="17"/>
  <c r="F105" i="17"/>
  <c r="F102" i="17"/>
  <c r="G101" i="17"/>
  <c r="F101" i="17"/>
  <c r="F98" i="17"/>
  <c r="G97" i="17"/>
  <c r="F97" i="17"/>
  <c r="F93" i="17"/>
  <c r="G91" i="17"/>
  <c r="F91" i="17"/>
  <c r="G90" i="17"/>
  <c r="F90" i="17"/>
  <c r="G88" i="17"/>
  <c r="F88" i="17"/>
  <c r="F87" i="17"/>
  <c r="H86" i="17"/>
  <c r="F86" i="17"/>
  <c r="G84" i="17"/>
  <c r="G84" i="18" s="1"/>
  <c r="F84" i="18" s="1"/>
  <c r="G83" i="17"/>
  <c r="G83" i="18" s="1"/>
  <c r="F83" i="18" s="1"/>
  <c r="F82" i="17"/>
  <c r="H79" i="17"/>
  <c r="G79" i="17"/>
  <c r="F78" i="17"/>
  <c r="G77" i="17"/>
  <c r="F77" i="17"/>
  <c r="F76" i="17"/>
  <c r="G73" i="17"/>
  <c r="F73" i="17"/>
  <c r="F72" i="17"/>
  <c r="G71" i="17"/>
  <c r="F71" i="17"/>
  <c r="F70" i="17"/>
  <c r="G69" i="17"/>
  <c r="F69" i="17"/>
  <c r="G65" i="17"/>
  <c r="F65" i="17"/>
  <c r="AN62" i="17"/>
  <c r="AL62" i="17"/>
  <c r="AJ62" i="17"/>
  <c r="AI62" i="17"/>
  <c r="AH62" i="17"/>
  <c r="Q62" i="17"/>
  <c r="K62" i="17"/>
  <c r="J62" i="17"/>
  <c r="I62" i="17"/>
  <c r="H62" i="17"/>
  <c r="G62" i="17"/>
  <c r="AN41" i="17"/>
  <c r="AL41" i="17"/>
  <c r="AJ41" i="17"/>
  <c r="AI41" i="17"/>
  <c r="AH41" i="17"/>
  <c r="Q41" i="17"/>
  <c r="K41" i="17"/>
  <c r="J41" i="17"/>
  <c r="I41" i="17"/>
  <c r="H41" i="17"/>
  <c r="G41" i="17"/>
  <c r="AN25" i="17"/>
  <c r="AL25" i="17"/>
  <c r="AJ25" i="17"/>
  <c r="AI25" i="17"/>
  <c r="AH25" i="17"/>
  <c r="Q25" i="17"/>
  <c r="O25" i="17"/>
  <c r="N25" i="17"/>
  <c r="M25" i="17"/>
  <c r="L25" i="17"/>
  <c r="K25" i="17"/>
  <c r="J25" i="17"/>
  <c r="I25" i="17"/>
  <c r="H25" i="17"/>
  <c r="G25" i="17"/>
  <c r="F25" i="17"/>
  <c r="H22" i="17"/>
  <c r="G22" i="17"/>
  <c r="F22" i="17"/>
  <c r="AN22" i="17"/>
  <c r="AL22" i="17"/>
  <c r="AJ22" i="17"/>
  <c r="AH22" i="17"/>
  <c r="Q22" i="17"/>
  <c r="N22" i="17"/>
  <c r="M22" i="17"/>
  <c r="J22" i="17"/>
  <c r="AN17" i="17"/>
  <c r="AL17" i="17"/>
  <c r="AJ17" i="17"/>
  <c r="AI17" i="17"/>
  <c r="AH17" i="17"/>
  <c r="Q17" i="17"/>
  <c r="O17" i="17"/>
  <c r="N17" i="17"/>
  <c r="M17" i="17"/>
  <c r="L17" i="17"/>
  <c r="K17" i="17"/>
  <c r="J17" i="17"/>
  <c r="I17" i="17"/>
  <c r="H17" i="17"/>
  <c r="G17" i="17"/>
  <c r="AN13" i="17"/>
  <c r="AL13" i="17"/>
  <c r="AJ13" i="17"/>
  <c r="AI13" i="17"/>
  <c r="AH13" i="17"/>
  <c r="Q13" i="17"/>
  <c r="O13" i="17"/>
  <c r="N13" i="17"/>
  <c r="M13" i="17"/>
  <c r="L13" i="17"/>
  <c r="K13" i="17"/>
  <c r="J13" i="17"/>
  <c r="I13" i="17"/>
  <c r="H13" i="17"/>
  <c r="G13" i="17"/>
  <c r="F13" i="17"/>
  <c r="A3" i="17"/>
  <c r="A1" i="17"/>
  <c r="U27" i="17" l="1"/>
  <c r="S27" i="17"/>
  <c r="E68" i="17"/>
  <c r="G27" i="17"/>
  <c r="G106" i="17"/>
  <c r="F106" i="17"/>
  <c r="H27" i="17"/>
  <c r="H74" i="4"/>
  <c r="T27" i="17"/>
  <c r="X27" i="17"/>
  <c r="AE27" i="17"/>
  <c r="AG27" i="17"/>
  <c r="W27" i="17"/>
  <c r="V27" i="17"/>
  <c r="R27" i="17"/>
  <c r="N27" i="17"/>
  <c r="AH27" i="17"/>
  <c r="G85" i="17"/>
  <c r="G85" i="18" s="1"/>
  <c r="F85" i="18" s="1"/>
  <c r="G92" i="17"/>
  <c r="H65" i="17"/>
  <c r="H69" i="17"/>
  <c r="H71" i="17"/>
  <c r="H73" i="17"/>
  <c r="H77" i="17"/>
  <c r="G86" i="17"/>
  <c r="G93" i="17"/>
  <c r="H105" i="17"/>
  <c r="J27" i="17"/>
  <c r="M27" i="17"/>
  <c r="AN27" i="17"/>
  <c r="G82" i="17"/>
  <c r="H84" i="17"/>
  <c r="H91" i="17"/>
  <c r="H101" i="17"/>
  <c r="R112" i="17"/>
  <c r="R111" i="17"/>
  <c r="R105" i="17"/>
  <c r="R102" i="17"/>
  <c r="R101" i="17"/>
  <c r="R100" i="17"/>
  <c r="R99" i="17"/>
  <c r="R98" i="17"/>
  <c r="R97" i="17"/>
  <c r="R96" i="17"/>
  <c r="R93" i="17"/>
  <c r="R92" i="17"/>
  <c r="R91" i="17"/>
  <c r="R90" i="17"/>
  <c r="R88" i="17"/>
  <c r="R87" i="17"/>
  <c r="R86" i="17"/>
  <c r="R85" i="17"/>
  <c r="R84" i="17"/>
  <c r="R83" i="17"/>
  <c r="R82" i="17"/>
  <c r="R79" i="17"/>
  <c r="R78" i="17"/>
  <c r="R77" i="17"/>
  <c r="R76" i="17"/>
  <c r="R73" i="17"/>
  <c r="R72" i="17"/>
  <c r="R71" i="17"/>
  <c r="R70" i="17"/>
  <c r="R69" i="17"/>
  <c r="R64" i="17"/>
  <c r="R65" i="17"/>
  <c r="R66" i="17"/>
  <c r="AJ27" i="17"/>
  <c r="G64" i="17"/>
  <c r="G64" i="18" s="1"/>
  <c r="F64" i="18" s="1"/>
  <c r="G66" i="17"/>
  <c r="G70" i="17"/>
  <c r="G72" i="17"/>
  <c r="G76" i="17"/>
  <c r="G78" i="17"/>
  <c r="H82" i="17"/>
  <c r="G96" i="17"/>
  <c r="AL27" i="17"/>
  <c r="H64" i="17"/>
  <c r="H66" i="17"/>
  <c r="H70" i="17"/>
  <c r="H72" i="17"/>
  <c r="H76" i="17"/>
  <c r="G87" i="17"/>
  <c r="G99" i="17"/>
  <c r="F113" i="17"/>
  <c r="H111" i="17"/>
  <c r="H98" i="17"/>
  <c r="H88" i="17"/>
  <c r="H83" i="17"/>
  <c r="H100" i="17"/>
  <c r="H93" i="17"/>
  <c r="H97" i="17"/>
  <c r="H90" i="17"/>
  <c r="H85" i="17"/>
  <c r="H102" i="17"/>
  <c r="H112" i="17"/>
  <c r="H99" i="17"/>
  <c r="H92" i="17"/>
  <c r="H87" i="17"/>
  <c r="H78" i="17"/>
  <c r="G102" i="17"/>
  <c r="G100" i="17"/>
  <c r="G98" i="17"/>
  <c r="G111" i="17"/>
  <c r="Q27" i="17"/>
  <c r="X74" i="4" l="1"/>
  <c r="G113" i="17"/>
  <c r="R109" i="17"/>
  <c r="H109" i="17"/>
  <c r="G109" i="17"/>
  <c r="G109" i="18" s="1"/>
  <c r="F109" i="18" s="1"/>
  <c r="R106" i="17"/>
  <c r="H106" i="17"/>
  <c r="R113" i="17"/>
  <c r="G80" i="17"/>
  <c r="G94" i="17"/>
  <c r="H113" i="17"/>
  <c r="G103" i="17"/>
  <c r="H74" i="17"/>
  <c r="G74" i="17"/>
  <c r="G74" i="18" s="1"/>
  <c r="F74" i="18" s="1"/>
  <c r="R94" i="17"/>
  <c r="S71" i="17"/>
  <c r="S111" i="17"/>
  <c r="S105" i="17"/>
  <c r="S100" i="17"/>
  <c r="S96" i="17"/>
  <c r="S92" i="17"/>
  <c r="S88" i="17"/>
  <c r="S84" i="17"/>
  <c r="S78" i="17"/>
  <c r="S73" i="17"/>
  <c r="S66" i="17"/>
  <c r="S65" i="17"/>
  <c r="S64" i="17"/>
  <c r="S69" i="17"/>
  <c r="S70" i="17"/>
  <c r="S99" i="17"/>
  <c r="S93" i="17"/>
  <c r="S85" i="17"/>
  <c r="S77" i="17"/>
  <c r="S102" i="17"/>
  <c r="S98" i="17"/>
  <c r="S90" i="17"/>
  <c r="S86" i="17"/>
  <c r="S82" i="17"/>
  <c r="S76" i="17"/>
  <c r="S112" i="17"/>
  <c r="S101" i="17"/>
  <c r="S97" i="17"/>
  <c r="S91" i="17"/>
  <c r="S87" i="17"/>
  <c r="S83" i="17"/>
  <c r="S79" i="17"/>
  <c r="R74" i="17"/>
  <c r="H94" i="17"/>
  <c r="R80" i="17"/>
  <c r="R103" i="17"/>
  <c r="H103" i="17"/>
  <c r="H80" i="17"/>
  <c r="I100" i="17"/>
  <c r="I93" i="17"/>
  <c r="I97" i="17"/>
  <c r="I102" i="17"/>
  <c r="I112" i="17"/>
  <c r="I99" i="17"/>
  <c r="I92" i="17"/>
  <c r="I105" i="17"/>
  <c r="I84" i="17"/>
  <c r="I87" i="17"/>
  <c r="I77" i="17"/>
  <c r="I98" i="17"/>
  <c r="I86" i="17"/>
  <c r="I72" i="17"/>
  <c r="I83" i="17"/>
  <c r="I64" i="17"/>
  <c r="I82" i="17"/>
  <c r="I101" i="17"/>
  <c r="I96" i="17"/>
  <c r="I76" i="17"/>
  <c r="I69" i="17"/>
  <c r="I88" i="17"/>
  <c r="I91" i="17"/>
  <c r="I90" i="17"/>
  <c r="I85" i="17"/>
  <c r="I71" i="17"/>
  <c r="I66" i="17"/>
  <c r="I79" i="17"/>
  <c r="I111" i="17"/>
  <c r="I78" i="17"/>
  <c r="I73" i="17"/>
  <c r="I70" i="17"/>
  <c r="I65" i="17"/>
  <c r="U68" i="1" l="1"/>
  <c r="I109" i="17"/>
  <c r="S109" i="17"/>
  <c r="S106" i="17"/>
  <c r="I113" i="17"/>
  <c r="G115" i="17"/>
  <c r="G115" i="18" s="1"/>
  <c r="F115" i="18" s="1"/>
  <c r="H115" i="17"/>
  <c r="H117" i="17" s="1"/>
  <c r="R115" i="17"/>
  <c r="R117" i="17" s="1"/>
  <c r="S80" i="17"/>
  <c r="S94" i="17"/>
  <c r="S103" i="17"/>
  <c r="S113" i="17"/>
  <c r="T112" i="17"/>
  <c r="T111" i="17"/>
  <c r="T105" i="17"/>
  <c r="T102" i="17"/>
  <c r="T101" i="17"/>
  <c r="T100" i="17"/>
  <c r="T99" i="17"/>
  <c r="T98" i="17"/>
  <c r="T97" i="17"/>
  <c r="T96" i="17"/>
  <c r="T93" i="17"/>
  <c r="T92" i="17"/>
  <c r="T91" i="17"/>
  <c r="T90" i="17"/>
  <c r="T88" i="17"/>
  <c r="T87" i="17"/>
  <c r="T86" i="17"/>
  <c r="T85" i="17"/>
  <c r="T84" i="17"/>
  <c r="T83" i="17"/>
  <c r="T82" i="17"/>
  <c r="T78" i="17"/>
  <c r="T73" i="17"/>
  <c r="T66" i="17"/>
  <c r="T65" i="17"/>
  <c r="T64" i="17"/>
  <c r="T70" i="17"/>
  <c r="T77" i="17"/>
  <c r="T72" i="17"/>
  <c r="T69" i="17"/>
  <c r="T76" i="17"/>
  <c r="T71" i="17"/>
  <c r="I74" i="17"/>
  <c r="I103" i="17"/>
  <c r="I80" i="17"/>
  <c r="I94" i="17"/>
  <c r="J100" i="17"/>
  <c r="J97" i="17"/>
  <c r="J90" i="17"/>
  <c r="J85" i="17"/>
  <c r="J102" i="17"/>
  <c r="J112" i="17"/>
  <c r="J99" i="17"/>
  <c r="J92" i="17"/>
  <c r="J87" i="17"/>
  <c r="J105" i="17"/>
  <c r="J101" i="17"/>
  <c r="J96" i="17"/>
  <c r="J93" i="17"/>
  <c r="J86" i="17"/>
  <c r="J72" i="17"/>
  <c r="J83" i="17"/>
  <c r="J64" i="17"/>
  <c r="J76" i="17"/>
  <c r="J69" i="17"/>
  <c r="J91" i="17"/>
  <c r="J71" i="17"/>
  <c r="J66" i="17"/>
  <c r="J79" i="17"/>
  <c r="J111" i="17"/>
  <c r="J98" i="17"/>
  <c r="J88" i="17"/>
  <c r="J84" i="17"/>
  <c r="J82" i="17"/>
  <c r="J78" i="17"/>
  <c r="J73" i="17"/>
  <c r="J70" i="17"/>
  <c r="J77" i="17"/>
  <c r="I106" i="17"/>
  <c r="G117" i="17" l="1"/>
  <c r="G116" i="18"/>
  <c r="F116" i="18" s="1"/>
  <c r="H37" i="2"/>
  <c r="T109" i="17"/>
  <c r="T106" i="17"/>
  <c r="J106" i="17"/>
  <c r="T113" i="17"/>
  <c r="T103" i="17"/>
  <c r="I115" i="17"/>
  <c r="T94" i="17"/>
  <c r="U112" i="17"/>
  <c r="U111" i="17"/>
  <c r="U105" i="17"/>
  <c r="U102" i="17"/>
  <c r="U101" i="17"/>
  <c r="U100" i="17"/>
  <c r="U99" i="17"/>
  <c r="U97" i="17"/>
  <c r="U96" i="17"/>
  <c r="U93" i="17"/>
  <c r="U92" i="17"/>
  <c r="U91" i="17"/>
  <c r="U90" i="17"/>
  <c r="U88" i="17"/>
  <c r="U87" i="17"/>
  <c r="U86" i="17"/>
  <c r="U85" i="17"/>
  <c r="U84" i="17"/>
  <c r="U83" i="17"/>
  <c r="U82" i="17"/>
  <c r="U78" i="17"/>
  <c r="U77" i="17"/>
  <c r="U73" i="17"/>
  <c r="U72" i="17"/>
  <c r="U71" i="17"/>
  <c r="U69" i="17"/>
  <c r="U66" i="17"/>
  <c r="U65" i="17"/>
  <c r="U64" i="17"/>
  <c r="T74" i="17"/>
  <c r="J103" i="17"/>
  <c r="J113" i="17"/>
  <c r="K105" i="17"/>
  <c r="K96" i="17"/>
  <c r="K69" i="17"/>
  <c r="K78" i="17"/>
  <c r="K102" i="17"/>
  <c r="K87" i="17"/>
  <c r="K82" i="17"/>
  <c r="K101" i="17"/>
  <c r="K100" i="17"/>
  <c r="K76" i="17"/>
  <c r="K90" i="17"/>
  <c r="K112" i="17"/>
  <c r="K77" i="17"/>
  <c r="K111" i="17"/>
  <c r="K85" i="17"/>
  <c r="K99" i="17"/>
  <c r="K71" i="17"/>
  <c r="K86" i="17"/>
  <c r="K70" i="17"/>
  <c r="K93" i="17"/>
  <c r="K66" i="17"/>
  <c r="K65" i="17"/>
  <c r="K79" i="17"/>
  <c r="K98" i="17"/>
  <c r="K88" i="17"/>
  <c r="K97" i="17"/>
  <c r="K64" i="17"/>
  <c r="K84" i="17"/>
  <c r="K83" i="17"/>
  <c r="K72" i="17"/>
  <c r="K92" i="17"/>
  <c r="K91" i="17"/>
  <c r="J109" i="17"/>
  <c r="J80" i="17"/>
  <c r="J94" i="17"/>
  <c r="AC113" i="1"/>
  <c r="AC109" i="1"/>
  <c r="AC106" i="1"/>
  <c r="AC103" i="1"/>
  <c r="AC94" i="1"/>
  <c r="AC62" i="1"/>
  <c r="AC25" i="1"/>
  <c r="AC22" i="1"/>
  <c r="AC17" i="1"/>
  <c r="AC13" i="1"/>
  <c r="G118" i="18" l="1"/>
  <c r="F118" i="18" s="1"/>
  <c r="G117" i="18"/>
  <c r="F117" i="18" s="1"/>
  <c r="J37" i="2"/>
  <c r="U109" i="17"/>
  <c r="U106" i="17"/>
  <c r="U113" i="17"/>
  <c r="U94" i="17"/>
  <c r="V112" i="17"/>
  <c r="V111" i="17"/>
  <c r="V105" i="17"/>
  <c r="V102" i="17"/>
  <c r="V101" i="17"/>
  <c r="V100" i="17"/>
  <c r="V99" i="17"/>
  <c r="V98" i="17"/>
  <c r="V97" i="17"/>
  <c r="V96" i="17"/>
  <c r="V93" i="17"/>
  <c r="V92" i="17"/>
  <c r="V91" i="17"/>
  <c r="V90" i="17"/>
  <c r="V88" i="17"/>
  <c r="V87" i="17"/>
  <c r="V86" i="17"/>
  <c r="V85" i="17"/>
  <c r="V84" i="17"/>
  <c r="V83" i="17"/>
  <c r="V82" i="17"/>
  <c r="V79" i="17"/>
  <c r="V73" i="17"/>
  <c r="V72" i="17"/>
  <c r="V71" i="17"/>
  <c r="V70" i="17"/>
  <c r="V69" i="17"/>
  <c r="V65" i="17"/>
  <c r="V66" i="17"/>
  <c r="V64" i="17"/>
  <c r="K113" i="17"/>
  <c r="K80" i="17"/>
  <c r="L102" i="17"/>
  <c r="L87" i="17"/>
  <c r="L82" i="17"/>
  <c r="L112" i="17"/>
  <c r="L105" i="17"/>
  <c r="L99" i="17"/>
  <c r="L96" i="17"/>
  <c r="L84" i="17"/>
  <c r="L101" i="17"/>
  <c r="L111" i="17"/>
  <c r="L98" i="17"/>
  <c r="L91" i="17"/>
  <c r="L86" i="17"/>
  <c r="L83" i="17"/>
  <c r="L69" i="17"/>
  <c r="L64" i="17"/>
  <c r="L77" i="17"/>
  <c r="L76" i="17"/>
  <c r="L92" i="17"/>
  <c r="L71" i="17"/>
  <c r="L66" i="17"/>
  <c r="L90" i="17"/>
  <c r="L85" i="17"/>
  <c r="L79" i="17"/>
  <c r="L78" i="17"/>
  <c r="L88" i="17"/>
  <c r="L73" i="17"/>
  <c r="L65" i="17"/>
  <c r="L100" i="17"/>
  <c r="L70" i="17"/>
  <c r="L97" i="17"/>
  <c r="L72" i="17"/>
  <c r="L93" i="17"/>
  <c r="K103" i="17"/>
  <c r="K106" i="17"/>
  <c r="AC27" i="1"/>
  <c r="AC80" i="1"/>
  <c r="N37" i="2" l="1"/>
  <c r="L37" i="2"/>
  <c r="L109" i="17"/>
  <c r="V109" i="17"/>
  <c r="L106" i="17"/>
  <c r="V106" i="17"/>
  <c r="L80" i="17"/>
  <c r="L113" i="17"/>
  <c r="W112" i="17"/>
  <c r="W111" i="17"/>
  <c r="W105" i="17"/>
  <c r="W102" i="17"/>
  <c r="W101" i="17"/>
  <c r="W100" i="17"/>
  <c r="W99" i="17"/>
  <c r="W98" i="17"/>
  <c r="W97" i="17"/>
  <c r="W96" i="17"/>
  <c r="W92" i="17"/>
  <c r="W88" i="17"/>
  <c r="W84" i="17"/>
  <c r="W77" i="17"/>
  <c r="W72" i="17"/>
  <c r="W91" i="17"/>
  <c r="W83" i="17"/>
  <c r="W93" i="17"/>
  <c r="W85" i="17"/>
  <c r="W87" i="17"/>
  <c r="W76" i="17"/>
  <c r="W71" i="17"/>
  <c r="W69" i="17"/>
  <c r="W90" i="17"/>
  <c r="W86" i="17"/>
  <c r="W79" i="17"/>
  <c r="W66" i="17"/>
  <c r="W65" i="17"/>
  <c r="W78" i="17"/>
  <c r="W73" i="17"/>
  <c r="W70" i="17"/>
  <c r="V113" i="17"/>
  <c r="L103" i="17"/>
  <c r="V94" i="17"/>
  <c r="V74" i="17"/>
  <c r="V103" i="17"/>
  <c r="M102" i="17"/>
  <c r="M112" i="17"/>
  <c r="M105" i="17"/>
  <c r="M99" i="17"/>
  <c r="M92" i="17"/>
  <c r="M96" i="17"/>
  <c r="M101" i="17"/>
  <c r="M111" i="17"/>
  <c r="M98" i="17"/>
  <c r="M91" i="17"/>
  <c r="M88" i="17"/>
  <c r="M83" i="17"/>
  <c r="G158" i="18" s="1"/>
  <c r="F158" i="18" s="1"/>
  <c r="M79" i="17"/>
  <c r="M76" i="17"/>
  <c r="M93" i="17"/>
  <c r="M71" i="17"/>
  <c r="M66" i="17"/>
  <c r="M90" i="17"/>
  <c r="M85" i="17"/>
  <c r="G160" i="18" s="1"/>
  <c r="F160" i="18" s="1"/>
  <c r="M78" i="17"/>
  <c r="M97" i="17"/>
  <c r="M73" i="17"/>
  <c r="M100" i="17"/>
  <c r="M84" i="17"/>
  <c r="G159" i="18" s="1"/>
  <c r="F159" i="18" s="1"/>
  <c r="M82" i="17"/>
  <c r="M70" i="17"/>
  <c r="M65" i="17"/>
  <c r="M77" i="17"/>
  <c r="M87" i="17"/>
  <c r="M69" i="17"/>
  <c r="M86" i="17"/>
  <c r="M72" i="17"/>
  <c r="M64" i="17"/>
  <c r="G142" i="18" s="1"/>
  <c r="F142" i="18" s="1"/>
  <c r="L94" i="17"/>
  <c r="L74" i="17"/>
  <c r="W109" i="17" l="1"/>
  <c r="M109" i="17"/>
  <c r="W106" i="17"/>
  <c r="L115" i="17"/>
  <c r="W80" i="17"/>
  <c r="M113" i="17"/>
  <c r="X112" i="17"/>
  <c r="X111" i="17"/>
  <c r="X105" i="17"/>
  <c r="X102" i="17"/>
  <c r="X101" i="17"/>
  <c r="X100" i="17"/>
  <c r="X99" i="17"/>
  <c r="X98" i="17"/>
  <c r="X97" i="17"/>
  <c r="X96" i="17"/>
  <c r="X77" i="17"/>
  <c r="X72" i="17"/>
  <c r="X93" i="17"/>
  <c r="X85" i="17"/>
  <c r="X70" i="17"/>
  <c r="X76" i="17"/>
  <c r="X71" i="17"/>
  <c r="X69" i="17"/>
  <c r="X78" i="17"/>
  <c r="X90" i="17"/>
  <c r="X86" i="17"/>
  <c r="X82" i="17"/>
  <c r="X79" i="17"/>
  <c r="X66" i="17"/>
  <c r="X65" i="17"/>
  <c r="X64" i="17"/>
  <c r="X91" i="17"/>
  <c r="X87" i="17"/>
  <c r="X83" i="17"/>
  <c r="X92" i="17"/>
  <c r="X88" i="17"/>
  <c r="X84" i="17"/>
  <c r="X73" i="17"/>
  <c r="W103" i="17"/>
  <c r="W74" i="17"/>
  <c r="W113" i="17"/>
  <c r="M94" i="17"/>
  <c r="M106" i="17"/>
  <c r="N112" i="17"/>
  <c r="N105" i="17"/>
  <c r="N99" i="17"/>
  <c r="N84" i="17"/>
  <c r="G231" i="18" s="1"/>
  <c r="F231" i="18" s="1"/>
  <c r="N101" i="17"/>
  <c r="N111" i="17"/>
  <c r="N98" i="17"/>
  <c r="N91" i="17"/>
  <c r="N86" i="17"/>
  <c r="N100" i="17"/>
  <c r="N93" i="17"/>
  <c r="N71" i="17"/>
  <c r="N66" i="17"/>
  <c r="N90" i="17"/>
  <c r="N85" i="17"/>
  <c r="G232" i="18" s="1"/>
  <c r="F232" i="18" s="1"/>
  <c r="N78" i="17"/>
  <c r="N79" i="17"/>
  <c r="N73" i="17"/>
  <c r="N88" i="17"/>
  <c r="N82" i="17"/>
  <c r="N70" i="17"/>
  <c r="N65" i="17"/>
  <c r="N102" i="17"/>
  <c r="N77" i="17"/>
  <c r="N97" i="17"/>
  <c r="N92" i="17"/>
  <c r="N87" i="17"/>
  <c r="N72" i="17"/>
  <c r="N69" i="17"/>
  <c r="N76" i="17"/>
  <c r="N83" i="17"/>
  <c r="G230" i="18" s="1"/>
  <c r="F230" i="18" s="1"/>
  <c r="M80" i="17"/>
  <c r="M103" i="17"/>
  <c r="Z74" i="4"/>
  <c r="A3" i="16"/>
  <c r="A1" i="16"/>
  <c r="N109" i="17" l="1"/>
  <c r="X106" i="17"/>
  <c r="N106" i="17"/>
  <c r="N113" i="17"/>
  <c r="X80" i="17"/>
  <c r="X103" i="17"/>
  <c r="X74" i="17"/>
  <c r="X94" i="17"/>
  <c r="X113" i="17"/>
  <c r="Y112" i="17"/>
  <c r="Y111" i="17"/>
  <c r="Y105" i="17"/>
  <c r="Y102" i="17"/>
  <c r="Y101" i="17"/>
  <c r="Y100" i="17"/>
  <c r="Y99" i="17"/>
  <c r="Y98" i="17"/>
  <c r="Y97" i="17"/>
  <c r="Y96" i="17"/>
  <c r="Y93" i="17"/>
  <c r="Y92" i="17"/>
  <c r="Y91" i="17"/>
  <c r="Y90" i="17"/>
  <c r="Y88" i="17"/>
  <c r="Y87" i="17"/>
  <c r="Y86" i="17"/>
  <c r="Y85" i="17"/>
  <c r="Y84" i="17"/>
  <c r="Y83" i="17"/>
  <c r="Y82" i="17"/>
  <c r="Y76" i="17"/>
  <c r="Y71" i="17"/>
  <c r="Y69" i="17"/>
  <c r="Y79" i="17"/>
  <c r="Y66" i="17"/>
  <c r="Y65" i="17"/>
  <c r="Y64" i="17"/>
  <c r="Y78" i="17"/>
  <c r="Y73" i="17"/>
  <c r="Y70" i="17"/>
  <c r="Y77" i="17"/>
  <c r="Y72" i="17"/>
  <c r="N80" i="17"/>
  <c r="N94" i="17"/>
  <c r="O101" i="17"/>
  <c r="O111" i="17"/>
  <c r="O98" i="17"/>
  <c r="O100" i="17"/>
  <c r="O93" i="17"/>
  <c r="O97" i="17"/>
  <c r="O90" i="17"/>
  <c r="O85" i="17"/>
  <c r="G304" i="18" s="1"/>
  <c r="F304" i="18" s="1"/>
  <c r="O78" i="17"/>
  <c r="O79" i="17"/>
  <c r="O73" i="17"/>
  <c r="O105" i="17"/>
  <c r="O91" i="17"/>
  <c r="O82" i="17"/>
  <c r="O70" i="17"/>
  <c r="O65" i="17"/>
  <c r="O76" i="17"/>
  <c r="O102" i="17"/>
  <c r="O84" i="17"/>
  <c r="G303" i="18" s="1"/>
  <c r="F303" i="18" s="1"/>
  <c r="O77" i="17"/>
  <c r="O92" i="17"/>
  <c r="O87" i="17"/>
  <c r="O72" i="17"/>
  <c r="O112" i="17"/>
  <c r="O99" i="17"/>
  <c r="O69" i="17"/>
  <c r="O83" i="17"/>
  <c r="G302" i="18" s="1"/>
  <c r="F302" i="18" s="1"/>
  <c r="O71" i="17"/>
  <c r="O66" i="17"/>
  <c r="O109" i="17" l="1"/>
  <c r="Y109" i="17"/>
  <c r="Y106" i="17"/>
  <c r="Y113" i="17"/>
  <c r="Y74" i="17"/>
  <c r="Y80" i="17"/>
  <c r="Y94" i="17"/>
  <c r="O113" i="17"/>
  <c r="Z112" i="17"/>
  <c r="Z111" i="17"/>
  <c r="Z105" i="17"/>
  <c r="Z102" i="17"/>
  <c r="Z101" i="17"/>
  <c r="Z100" i="17"/>
  <c r="Z99" i="17"/>
  <c r="Z98" i="17"/>
  <c r="Z97" i="17"/>
  <c r="Z93" i="17"/>
  <c r="Z92" i="17"/>
  <c r="Z90" i="17"/>
  <c r="Z88" i="17"/>
  <c r="Z87" i="17"/>
  <c r="Z86" i="17"/>
  <c r="Z85" i="17"/>
  <c r="Z84" i="17"/>
  <c r="Z83" i="17"/>
  <c r="Z82" i="17"/>
  <c r="Z79" i="17"/>
  <c r="Z78" i="17"/>
  <c r="Z77" i="17"/>
  <c r="Z76" i="17"/>
  <c r="Z73" i="17"/>
  <c r="Z72" i="17"/>
  <c r="Z71" i="17"/>
  <c r="Z70" i="17"/>
  <c r="Z69" i="17"/>
  <c r="Z66" i="17"/>
  <c r="Z65" i="17"/>
  <c r="Z64" i="17"/>
  <c r="Y103" i="17"/>
  <c r="O106" i="17"/>
  <c r="Q101" i="17"/>
  <c r="Q111" i="17"/>
  <c r="Q98" i="17"/>
  <c r="Q91" i="17"/>
  <c r="Q86" i="17"/>
  <c r="Q100" i="17"/>
  <c r="Q93" i="17"/>
  <c r="Q97" i="17"/>
  <c r="Q90" i="17"/>
  <c r="Q102" i="17"/>
  <c r="Q87" i="17"/>
  <c r="Q82" i="17"/>
  <c r="Q78" i="17"/>
  <c r="Q85" i="17"/>
  <c r="Q79" i="17"/>
  <c r="Q73" i="17"/>
  <c r="Q105" i="17"/>
  <c r="Q96" i="17"/>
  <c r="Q70" i="17"/>
  <c r="Q65" i="17"/>
  <c r="Q88" i="17"/>
  <c r="Q84" i="17"/>
  <c r="Q77" i="17"/>
  <c r="Q92" i="17"/>
  <c r="Q72" i="17"/>
  <c r="Q112" i="17"/>
  <c r="Q99" i="17"/>
  <c r="Q69" i="17"/>
  <c r="Q64" i="17"/>
  <c r="Q83" i="17"/>
  <c r="Q76" i="17"/>
  <c r="Q66" i="17"/>
  <c r="Q71" i="17"/>
  <c r="O80" i="17"/>
  <c r="Q109" i="17" l="1"/>
  <c r="Z109" i="17"/>
  <c r="Q106" i="17"/>
  <c r="Z106" i="17"/>
  <c r="Z80" i="17"/>
  <c r="Y115" i="17"/>
  <c r="Q80" i="17"/>
  <c r="Z74" i="17"/>
  <c r="AA111" i="17"/>
  <c r="AA105" i="17"/>
  <c r="AA100" i="17"/>
  <c r="AA96" i="17"/>
  <c r="AA93" i="17"/>
  <c r="AA85" i="17"/>
  <c r="AA76" i="17"/>
  <c r="AA71" i="17"/>
  <c r="AA69" i="17"/>
  <c r="AA97" i="17"/>
  <c r="AA66" i="17"/>
  <c r="AA65" i="17"/>
  <c r="AA64" i="17"/>
  <c r="AA88" i="17"/>
  <c r="AA77" i="17"/>
  <c r="AA72" i="17"/>
  <c r="AA99" i="17"/>
  <c r="AA90" i="17"/>
  <c r="AA86" i="17"/>
  <c r="AA82" i="17"/>
  <c r="AA79" i="17"/>
  <c r="AA112" i="17"/>
  <c r="AA92" i="17"/>
  <c r="AA84" i="17"/>
  <c r="AA102" i="17"/>
  <c r="AA98" i="17"/>
  <c r="AA91" i="17"/>
  <c r="AA87" i="17"/>
  <c r="AA83" i="17"/>
  <c r="AA78" i="17"/>
  <c r="AA73" i="17"/>
  <c r="AA70" i="17"/>
  <c r="AA101" i="17"/>
  <c r="Z113" i="17"/>
  <c r="Q103" i="17"/>
  <c r="AH111" i="17"/>
  <c r="AH98" i="17"/>
  <c r="AH88" i="17"/>
  <c r="AH83" i="17"/>
  <c r="AH79" i="17"/>
  <c r="AH100" i="17"/>
  <c r="AH93" i="17"/>
  <c r="AH97" i="17"/>
  <c r="AH90" i="17"/>
  <c r="AH85" i="17"/>
  <c r="AH102" i="17"/>
  <c r="AH112" i="17"/>
  <c r="AH105" i="17"/>
  <c r="AH99" i="17"/>
  <c r="AH92" i="17"/>
  <c r="AH96" i="17"/>
  <c r="AH70" i="17"/>
  <c r="AH65" i="17"/>
  <c r="AH91" i="17"/>
  <c r="AH84" i="17"/>
  <c r="AH82" i="17"/>
  <c r="AH77" i="17"/>
  <c r="AH101" i="17"/>
  <c r="AH72" i="17"/>
  <c r="AH87" i="17"/>
  <c r="AH69" i="17"/>
  <c r="AH64" i="17"/>
  <c r="AH76" i="17"/>
  <c r="AH86" i="17"/>
  <c r="AH71" i="17"/>
  <c r="AH66" i="17"/>
  <c r="AH78" i="17"/>
  <c r="AH73" i="17"/>
  <c r="Q74" i="17"/>
  <c r="Q113" i="17"/>
  <c r="AC74" i="1"/>
  <c r="AC115" i="1" s="1"/>
  <c r="AC117" i="1" s="1"/>
  <c r="AH109" i="17" l="1"/>
  <c r="AA109" i="17"/>
  <c r="AA106" i="17"/>
  <c r="AH106" i="17"/>
  <c r="AA103" i="17"/>
  <c r="AA113" i="17"/>
  <c r="AA80" i="17"/>
  <c r="AA74" i="17"/>
  <c r="AA94" i="17"/>
  <c r="AB112" i="17"/>
  <c r="AB111" i="17"/>
  <c r="AB105" i="17"/>
  <c r="AB102" i="17"/>
  <c r="AB101" i="17"/>
  <c r="AB100" i="17"/>
  <c r="AB98" i="17"/>
  <c r="AB97" i="17"/>
  <c r="AB96" i="17"/>
  <c r="AB93" i="17"/>
  <c r="AB90" i="17"/>
  <c r="AB88" i="17"/>
  <c r="AB87" i="17"/>
  <c r="AB86" i="17"/>
  <c r="AB85" i="17"/>
  <c r="AB84" i="17"/>
  <c r="AB83" i="17"/>
  <c r="AB82" i="17"/>
  <c r="AB66" i="17"/>
  <c r="AB65" i="17"/>
  <c r="AB64" i="17"/>
  <c r="AB79" i="17"/>
  <c r="AB78" i="17"/>
  <c r="AB73" i="17"/>
  <c r="AB70" i="17"/>
  <c r="AB77" i="17"/>
  <c r="AB72" i="17"/>
  <c r="AB76" i="17"/>
  <c r="AB71" i="17"/>
  <c r="AB69" i="17"/>
  <c r="AH94" i="17"/>
  <c r="AH103" i="17"/>
  <c r="AI100" i="17"/>
  <c r="AI93" i="17"/>
  <c r="AI97" i="17"/>
  <c r="AI102" i="17"/>
  <c r="AI87" i="17"/>
  <c r="AI112" i="17"/>
  <c r="AI105" i="17"/>
  <c r="AI99" i="17"/>
  <c r="AI92" i="17"/>
  <c r="AI96" i="17"/>
  <c r="AI84" i="17"/>
  <c r="AI91" i="17"/>
  <c r="AI90" i="17"/>
  <c r="AI82" i="17"/>
  <c r="AI77" i="17"/>
  <c r="AI73" i="17"/>
  <c r="AI101" i="17"/>
  <c r="AI88" i="17"/>
  <c r="AI72" i="17"/>
  <c r="AI69" i="17"/>
  <c r="AI64" i="17"/>
  <c r="AI78" i="17"/>
  <c r="AI76" i="17"/>
  <c r="AI111" i="17"/>
  <c r="AI98" i="17"/>
  <c r="AI86" i="17"/>
  <c r="AI83" i="17"/>
  <c r="AI71" i="17"/>
  <c r="AI66" i="17"/>
  <c r="AI70" i="17"/>
  <c r="AI65" i="17"/>
  <c r="AI79" i="17"/>
  <c r="AI85" i="17"/>
  <c r="AH113" i="17"/>
  <c r="AH80" i="17"/>
  <c r="AH74" i="17"/>
  <c r="Y22" i="3"/>
  <c r="AA22" i="3" s="1"/>
  <c r="AC22" i="3" s="1"/>
  <c r="AE22" i="3" s="1"/>
  <c r="X22" i="3"/>
  <c r="Z22" i="3" s="1"/>
  <c r="AB22" i="3" s="1"/>
  <c r="AD22" i="3" s="1"/>
  <c r="C24" i="3"/>
  <c r="Y127" i="3"/>
  <c r="J13" i="3" l="1"/>
  <c r="K146" i="3"/>
  <c r="AI109" i="17"/>
  <c r="AB109" i="17"/>
  <c r="AI106" i="17"/>
  <c r="AB106" i="17"/>
  <c r="AA115" i="17"/>
  <c r="AH115" i="17"/>
  <c r="AH117" i="17" s="1"/>
  <c r="AI74" i="17"/>
  <c r="AI94" i="17"/>
  <c r="AC112" i="17"/>
  <c r="AC111" i="17"/>
  <c r="AC105" i="17"/>
  <c r="AC102" i="17"/>
  <c r="AC101" i="17"/>
  <c r="AC100" i="17"/>
  <c r="AC99" i="17"/>
  <c r="AC98" i="17"/>
  <c r="AC97" i="17"/>
  <c r="AC96" i="17"/>
  <c r="AC93" i="17"/>
  <c r="AC92" i="17"/>
  <c r="AC91" i="17"/>
  <c r="AC90" i="17"/>
  <c r="AC88" i="17"/>
  <c r="AC87" i="17"/>
  <c r="AC86" i="17"/>
  <c r="AC85" i="17"/>
  <c r="AC84" i="17"/>
  <c r="AC83" i="17"/>
  <c r="AC82" i="17"/>
  <c r="AC79" i="17"/>
  <c r="AC78" i="17"/>
  <c r="AC77" i="17"/>
  <c r="AC76" i="17"/>
  <c r="AC73" i="17"/>
  <c r="AC72" i="17"/>
  <c r="AC71" i="17"/>
  <c r="AC70" i="17"/>
  <c r="AC69" i="17"/>
  <c r="AC66" i="17"/>
  <c r="AC65" i="17"/>
  <c r="AC64" i="17"/>
  <c r="AI113" i="17"/>
  <c r="AB80" i="17"/>
  <c r="AB74" i="17"/>
  <c r="AB113" i="17"/>
  <c r="AI103" i="17"/>
  <c r="AI80" i="17"/>
  <c r="AJ100" i="17"/>
  <c r="AJ97" i="17"/>
  <c r="AJ90" i="17"/>
  <c r="AJ85" i="17"/>
  <c r="AJ102" i="17"/>
  <c r="AJ112" i="17"/>
  <c r="AJ105" i="17"/>
  <c r="AJ99" i="17"/>
  <c r="AJ92" i="17"/>
  <c r="AJ96" i="17"/>
  <c r="AJ101" i="17"/>
  <c r="AJ88" i="17"/>
  <c r="AJ84" i="17"/>
  <c r="AJ72" i="17"/>
  <c r="AJ69" i="17"/>
  <c r="AJ64" i="17"/>
  <c r="G55" i="18" s="1"/>
  <c r="F55" i="18" s="1"/>
  <c r="AJ87" i="17"/>
  <c r="AJ76" i="17"/>
  <c r="AJ111" i="17"/>
  <c r="AJ98" i="17"/>
  <c r="AJ86" i="17"/>
  <c r="AJ83" i="17"/>
  <c r="AJ71" i="17"/>
  <c r="AJ66" i="17"/>
  <c r="AJ93" i="17"/>
  <c r="AJ78" i="17"/>
  <c r="AJ73" i="17"/>
  <c r="AJ79" i="17"/>
  <c r="AJ65" i="17"/>
  <c r="AJ77" i="17"/>
  <c r="AJ82" i="17"/>
  <c r="AJ91" i="17"/>
  <c r="AJ70" i="17"/>
  <c r="J115" i="3"/>
  <c r="AA127" i="3"/>
  <c r="J24" i="3"/>
  <c r="K13" i="3" l="1"/>
  <c r="AE24" i="3"/>
  <c r="AJ109" i="17"/>
  <c r="AC109" i="17"/>
  <c r="AJ106" i="17"/>
  <c r="AC106" i="17"/>
  <c r="AC80" i="17"/>
  <c r="AJ113" i="17"/>
  <c r="AC103" i="17"/>
  <c r="AI115" i="17"/>
  <c r="AD112" i="17"/>
  <c r="AD111" i="17"/>
  <c r="AD105" i="17"/>
  <c r="AD102" i="17"/>
  <c r="AD101" i="17"/>
  <c r="AD100" i="17"/>
  <c r="AD99" i="17"/>
  <c r="AD98" i="17"/>
  <c r="AD97" i="17"/>
  <c r="AD96" i="17"/>
  <c r="AD93" i="17"/>
  <c r="AD92" i="17"/>
  <c r="AD91" i="17"/>
  <c r="AD90" i="17"/>
  <c r="AD88" i="17"/>
  <c r="AD87" i="17"/>
  <c r="AD86" i="17"/>
  <c r="AD85" i="17"/>
  <c r="AD84" i="17"/>
  <c r="AD83" i="17"/>
  <c r="AD82" i="17"/>
  <c r="AD79" i="17"/>
  <c r="AD78" i="17"/>
  <c r="AD77" i="17"/>
  <c r="AD76" i="17"/>
  <c r="AD73" i="17"/>
  <c r="AD72" i="17"/>
  <c r="AD71" i="17"/>
  <c r="AD70" i="17"/>
  <c r="AD69" i="17"/>
  <c r="AD66" i="17"/>
  <c r="AD64" i="17"/>
  <c r="AD65" i="17"/>
  <c r="AC74" i="17"/>
  <c r="AC113" i="17"/>
  <c r="AC94" i="17"/>
  <c r="AL97" i="17"/>
  <c r="AL102" i="17"/>
  <c r="AL87" i="17"/>
  <c r="AL82" i="17"/>
  <c r="AL112" i="17"/>
  <c r="AL105" i="17"/>
  <c r="AL99" i="17"/>
  <c r="AL96" i="17"/>
  <c r="AL84" i="17"/>
  <c r="AL101" i="17"/>
  <c r="AL111" i="17"/>
  <c r="AL98" i="17"/>
  <c r="AL91" i="17"/>
  <c r="AL86" i="17"/>
  <c r="AL69" i="17"/>
  <c r="AL64" i="17"/>
  <c r="AL76" i="17"/>
  <c r="AL65" i="17"/>
  <c r="AL92" i="17"/>
  <c r="AL83" i="17"/>
  <c r="AL71" i="17"/>
  <c r="AL66" i="17"/>
  <c r="AL100" i="17"/>
  <c r="AL85" i="17"/>
  <c r="AL77" i="17"/>
  <c r="AL93" i="17"/>
  <c r="AL78" i="17"/>
  <c r="AL73" i="17"/>
  <c r="AL79" i="17"/>
  <c r="AL70" i="17"/>
  <c r="AL90" i="17"/>
  <c r="AL72" i="17"/>
  <c r="AL88" i="17"/>
  <c r="AJ94" i="17"/>
  <c r="AJ74" i="17"/>
  <c r="AJ103" i="17"/>
  <c r="AJ80" i="17"/>
  <c r="K41" i="3"/>
  <c r="K67" i="3"/>
  <c r="K89" i="3"/>
  <c r="K48" i="3"/>
  <c r="K142" i="3" s="1"/>
  <c r="K101" i="3"/>
  <c r="AH54" i="3"/>
  <c r="K145" i="3"/>
  <c r="K147" i="3" s="1"/>
  <c r="K24" i="3"/>
  <c r="K83" i="3"/>
  <c r="K115" i="3"/>
  <c r="AC127" i="3"/>
  <c r="Y24" i="3"/>
  <c r="Z24" i="3"/>
  <c r="AB24" i="3"/>
  <c r="AD24" i="3"/>
  <c r="K148" i="3" l="1"/>
  <c r="K116" i="3"/>
  <c r="K150" i="3"/>
  <c r="L151" i="3"/>
  <c r="K143" i="3"/>
  <c r="K149" i="3"/>
  <c r="AC24" i="3"/>
  <c r="AA24" i="3"/>
  <c r="AH115" i="3"/>
  <c r="AH101" i="3"/>
  <c r="AH89" i="3"/>
  <c r="AH83" i="3"/>
  <c r="AH67" i="3"/>
  <c r="AH13" i="3"/>
  <c r="AH24" i="3"/>
  <c r="AH41" i="3"/>
  <c r="AD109" i="17"/>
  <c r="AL109" i="17"/>
  <c r="AD106" i="17"/>
  <c r="AL106" i="17"/>
  <c r="AC115" i="17"/>
  <c r="AD94" i="17"/>
  <c r="AL80" i="17"/>
  <c r="AE112" i="17"/>
  <c r="AE111" i="17"/>
  <c r="AE105" i="17"/>
  <c r="AE102" i="17"/>
  <c r="AE101" i="17"/>
  <c r="AE100" i="17"/>
  <c r="AE99" i="17"/>
  <c r="AE98" i="17"/>
  <c r="AE97" i="17"/>
  <c r="AE96" i="17"/>
  <c r="AE79" i="17"/>
  <c r="AE90" i="17"/>
  <c r="AE86" i="17"/>
  <c r="AE82" i="17"/>
  <c r="AE70" i="17"/>
  <c r="AE78" i="17"/>
  <c r="AE73" i="17"/>
  <c r="AE76" i="17"/>
  <c r="AE71" i="17"/>
  <c r="AE91" i="17"/>
  <c r="AE87" i="17"/>
  <c r="AE83" i="17"/>
  <c r="AE77" i="17"/>
  <c r="AE72" i="17"/>
  <c r="AE66" i="17"/>
  <c r="AE92" i="17"/>
  <c r="AE88" i="17"/>
  <c r="AE84" i="17"/>
  <c r="AE69" i="17"/>
  <c r="AE65" i="17"/>
  <c r="AE64" i="17"/>
  <c r="AE93" i="17"/>
  <c r="AE85" i="17"/>
  <c r="AJ115" i="17"/>
  <c r="AJ117" i="17" s="1"/>
  <c r="AD74" i="17"/>
  <c r="AD80" i="17"/>
  <c r="AD103" i="17"/>
  <c r="AD113" i="17"/>
  <c r="AN102" i="17"/>
  <c r="AN112" i="17"/>
  <c r="AN105" i="17"/>
  <c r="AN99" i="17"/>
  <c r="AN92" i="17"/>
  <c r="AN96" i="17"/>
  <c r="AN101" i="17"/>
  <c r="AN111" i="17"/>
  <c r="AN98" i="17"/>
  <c r="AN91" i="17"/>
  <c r="AN88" i="17"/>
  <c r="AN83" i="17"/>
  <c r="AN79" i="17"/>
  <c r="AN76" i="17"/>
  <c r="AN87" i="17"/>
  <c r="AN71" i="17"/>
  <c r="AN66" i="17"/>
  <c r="AN100" i="17"/>
  <c r="AN86" i="17"/>
  <c r="AN93" i="17"/>
  <c r="AN78" i="17"/>
  <c r="AN73" i="17"/>
  <c r="AN82" i="17"/>
  <c r="AN97" i="17"/>
  <c r="AN70" i="17"/>
  <c r="AN65" i="17"/>
  <c r="AN90" i="17"/>
  <c r="AN85" i="17"/>
  <c r="AN77" i="17"/>
  <c r="AN84" i="17"/>
  <c r="AN69" i="17"/>
  <c r="AN72" i="17"/>
  <c r="AN64" i="17"/>
  <c r="G285" i="18" s="1"/>
  <c r="F285" i="18" s="1"/>
  <c r="AL103" i="17"/>
  <c r="AL74" i="17"/>
  <c r="AL113" i="17"/>
  <c r="AL94" i="17"/>
  <c r="AH48" i="3"/>
  <c r="K156" i="3"/>
  <c r="K157" i="3"/>
  <c r="K158" i="3"/>
  <c r="AE127" i="3"/>
  <c r="K151" i="3" l="1"/>
  <c r="M158" i="3"/>
  <c r="F58" i="1" s="1"/>
  <c r="N158" i="3"/>
  <c r="G58" i="1" s="1"/>
  <c r="O158" i="3"/>
  <c r="H58" i="1" s="1"/>
  <c r="P158" i="3"/>
  <c r="I58" i="1" s="1"/>
  <c r="L158" i="3"/>
  <c r="E58" i="1" s="1"/>
  <c r="Q158" i="3"/>
  <c r="J58" i="1" s="1"/>
  <c r="R158" i="3"/>
  <c r="K58" i="1" s="1"/>
  <c r="S158" i="3"/>
  <c r="L58" i="1" s="1"/>
  <c r="T158" i="3"/>
  <c r="M58" i="1" s="1"/>
  <c r="U158" i="3"/>
  <c r="N58" i="1" s="1"/>
  <c r="V158" i="3"/>
  <c r="O58" i="1" s="1"/>
  <c r="W158" i="3"/>
  <c r="P58" i="1" s="1"/>
  <c r="U157" i="3"/>
  <c r="N57" i="1" s="1"/>
  <c r="V157" i="3"/>
  <c r="O57" i="1" s="1"/>
  <c r="O62" i="1" s="1"/>
  <c r="W157" i="3"/>
  <c r="P57" i="1" s="1"/>
  <c r="L157" i="3"/>
  <c r="E57" i="1" s="1"/>
  <c r="M157" i="3"/>
  <c r="F57" i="1" s="1"/>
  <c r="N157" i="3"/>
  <c r="G57" i="1" s="1"/>
  <c r="O157" i="3"/>
  <c r="H57" i="1" s="1"/>
  <c r="P157" i="3"/>
  <c r="I57" i="1" s="1"/>
  <c r="T157" i="3"/>
  <c r="M57" i="1" s="1"/>
  <c r="Q157" i="3"/>
  <c r="J57" i="1" s="1"/>
  <c r="R157" i="3"/>
  <c r="K57" i="1" s="1"/>
  <c r="S157" i="3"/>
  <c r="L57" i="1" s="1"/>
  <c r="P156" i="3"/>
  <c r="I56" i="1" s="1"/>
  <c r="Q156" i="3"/>
  <c r="J56" i="1" s="1"/>
  <c r="R156" i="3"/>
  <c r="K56" i="1" s="1"/>
  <c r="S156" i="3"/>
  <c r="T156" i="3"/>
  <c r="M56" i="1" s="1"/>
  <c r="U156" i="3"/>
  <c r="N56" i="1" s="1"/>
  <c r="V156" i="3"/>
  <c r="O56" i="1" s="1"/>
  <c r="W156" i="3"/>
  <c r="L156" i="3"/>
  <c r="E56" i="1" s="1"/>
  <c r="O156" i="3"/>
  <c r="H56" i="1" s="1"/>
  <c r="M156" i="3"/>
  <c r="F56" i="1" s="1"/>
  <c r="N156" i="3"/>
  <c r="AN109" i="17"/>
  <c r="AE109" i="17"/>
  <c r="AE106" i="17"/>
  <c r="AN106" i="17"/>
  <c r="AE113" i="17"/>
  <c r="AN103" i="17"/>
  <c r="AD115" i="17"/>
  <c r="AE80" i="17"/>
  <c r="AF112" i="17"/>
  <c r="AF111" i="17"/>
  <c r="AF105" i="17"/>
  <c r="AF102" i="17"/>
  <c r="AF101" i="17"/>
  <c r="AF100" i="17"/>
  <c r="AF99" i="17"/>
  <c r="AF98" i="17"/>
  <c r="AF97" i="17"/>
  <c r="AF96" i="17"/>
  <c r="AF90" i="17"/>
  <c r="AF86" i="17"/>
  <c r="AF82" i="17"/>
  <c r="AF70" i="17"/>
  <c r="AF78" i="17"/>
  <c r="AF73" i="17"/>
  <c r="AF85" i="17"/>
  <c r="AF91" i="17"/>
  <c r="AF87" i="17"/>
  <c r="AF83" i="17"/>
  <c r="AF77" i="17"/>
  <c r="AF72" i="17"/>
  <c r="AF92" i="17"/>
  <c r="AF88" i="17"/>
  <c r="AF84" i="17"/>
  <c r="AF69" i="17"/>
  <c r="AF66" i="17"/>
  <c r="AF65" i="17"/>
  <c r="AF64" i="17"/>
  <c r="AF93" i="17"/>
  <c r="AF76" i="17"/>
  <c r="AF71" i="17"/>
  <c r="AF79" i="17"/>
  <c r="AL115" i="17"/>
  <c r="AL117" i="17" s="1"/>
  <c r="AE74" i="17"/>
  <c r="AE103" i="17"/>
  <c r="AN80" i="17"/>
  <c r="AE94" i="17"/>
  <c r="AN113" i="17"/>
  <c r="AN74" i="17"/>
  <c r="AN94" i="17"/>
  <c r="N62" i="1" l="1"/>
  <c r="J62" i="1"/>
  <c r="I62" i="1"/>
  <c r="H62" i="1"/>
  <c r="K62" i="1"/>
  <c r="F62" i="1"/>
  <c r="M62" i="1"/>
  <c r="S159" i="3"/>
  <c r="S164" i="3" s="1"/>
  <c r="L56" i="1"/>
  <c r="L62" i="1" s="1"/>
  <c r="N159" i="3"/>
  <c r="N164" i="3" s="1"/>
  <c r="G56" i="1"/>
  <c r="U56" i="1" s="1"/>
  <c r="U58" i="1"/>
  <c r="U57" i="1"/>
  <c r="E62" i="1"/>
  <c r="P159" i="3"/>
  <c r="P164" i="3" s="1"/>
  <c r="Q159" i="3"/>
  <c r="Q164" i="3" s="1"/>
  <c r="U159" i="3"/>
  <c r="U164" i="3" s="1"/>
  <c r="V159" i="3"/>
  <c r="V164" i="3" s="1"/>
  <c r="T159" i="3"/>
  <c r="T164" i="3" s="1"/>
  <c r="R159" i="3"/>
  <c r="R164" i="3" s="1"/>
  <c r="O159" i="3"/>
  <c r="O164" i="3" s="1"/>
  <c r="L159" i="3"/>
  <c r="L164" i="3" s="1"/>
  <c r="M159" i="3"/>
  <c r="M164" i="3" s="1"/>
  <c r="W159" i="3"/>
  <c r="W164" i="3" s="1"/>
  <c r="P56" i="1"/>
  <c r="AF109" i="17"/>
  <c r="AF106" i="17"/>
  <c r="AF113" i="17"/>
  <c r="AN115" i="17"/>
  <c r="AN117" i="17" s="1"/>
  <c r="AF80" i="17"/>
  <c r="AE115" i="17"/>
  <c r="AE117" i="17" s="1"/>
  <c r="AG112" i="17"/>
  <c r="AG111" i="17"/>
  <c r="AG105" i="17"/>
  <c r="AG102" i="17"/>
  <c r="AG101" i="17"/>
  <c r="AG100" i="17"/>
  <c r="AG99" i="17"/>
  <c r="AG98" i="17"/>
  <c r="AG97" i="17"/>
  <c r="AG96" i="17"/>
  <c r="AG93" i="17"/>
  <c r="AG92" i="17"/>
  <c r="AG91" i="17"/>
  <c r="AG90" i="17"/>
  <c r="AG88" i="17"/>
  <c r="AG87" i="17"/>
  <c r="AG86" i="17"/>
  <c r="AG85" i="17"/>
  <c r="AG84" i="17"/>
  <c r="AG83" i="17"/>
  <c r="AG82" i="17"/>
  <c r="AG78" i="17"/>
  <c r="AG73" i="17"/>
  <c r="AG79" i="17"/>
  <c r="AG77" i="17"/>
  <c r="AG72" i="17"/>
  <c r="AG69" i="17"/>
  <c r="AG66" i="17"/>
  <c r="AG65" i="17"/>
  <c r="AG64" i="17"/>
  <c r="AG76" i="17"/>
  <c r="AG71" i="17"/>
  <c r="AG70" i="17"/>
  <c r="AF94" i="17"/>
  <c r="AF103" i="17"/>
  <c r="AF74" i="17"/>
  <c r="G62" i="1" l="1"/>
  <c r="AG109" i="17"/>
  <c r="AG106" i="17"/>
  <c r="AF115" i="17"/>
  <c r="AG94" i="17"/>
  <c r="AG113" i="17"/>
  <c r="AG74" i="17"/>
  <c r="AG103" i="17"/>
  <c r="AG80" i="17"/>
  <c r="AG115" i="17" l="1"/>
  <c r="AG117" i="17" s="1"/>
  <c r="J101" i="3" l="1"/>
  <c r="J89" i="3"/>
  <c r="J83" i="3"/>
  <c r="J67" i="3"/>
  <c r="J54" i="3"/>
  <c r="J48" i="3"/>
  <c r="J41" i="3"/>
  <c r="J116" i="3" l="1"/>
  <c r="M8" i="6"/>
  <c r="K8" i="6"/>
  <c r="I8" i="6"/>
  <c r="G8" i="6"/>
  <c r="H24" i="7" s="1"/>
  <c r="E21" i="7" l="1"/>
  <c r="E21" i="8" s="1"/>
  <c r="E21" i="9" s="1"/>
  <c r="E21" i="10" s="1"/>
  <c r="E19" i="7"/>
  <c r="E19" i="8" s="1"/>
  <c r="E19" i="9" s="1"/>
  <c r="E19" i="10" s="1"/>
  <c r="E15" i="7"/>
  <c r="E15" i="8" s="1"/>
  <c r="E15" i="9" s="1"/>
  <c r="E15" i="10" s="1"/>
  <c r="N20" i="7"/>
  <c r="N20" i="8" s="1"/>
  <c r="N20" i="9" s="1"/>
  <c r="N20" i="10" s="1"/>
  <c r="K24" i="7"/>
  <c r="K24" i="8" s="1"/>
  <c r="K24" i="9" s="1"/>
  <c r="K24" i="10" s="1"/>
  <c r="M19" i="7"/>
  <c r="M19" i="8" s="1"/>
  <c r="M19" i="9" s="1"/>
  <c r="M19" i="10" s="1"/>
  <c r="J19" i="7"/>
  <c r="J19" i="8" s="1"/>
  <c r="J19" i="9" s="1"/>
  <c r="J19" i="10" s="1"/>
  <c r="G15" i="7"/>
  <c r="G15" i="8" s="1"/>
  <c r="G15" i="9" s="1"/>
  <c r="G15" i="10" s="1"/>
  <c r="P24" i="7"/>
  <c r="P24" i="8" s="1"/>
  <c r="P24" i="9" s="1"/>
  <c r="P24" i="10" s="1"/>
  <c r="P20" i="7"/>
  <c r="P20" i="8" s="1"/>
  <c r="P20" i="9" s="1"/>
  <c r="P20" i="10" s="1"/>
  <c r="P16" i="7"/>
  <c r="P16" i="8" s="1"/>
  <c r="P16" i="9" s="1"/>
  <c r="P16" i="10" s="1"/>
  <c r="N24" i="7"/>
  <c r="N24" i="8" s="1"/>
  <c r="N24" i="9" s="1"/>
  <c r="N24" i="10" s="1"/>
  <c r="N16" i="7"/>
  <c r="N16" i="8" s="1"/>
  <c r="N16" i="9" s="1"/>
  <c r="N16" i="10" s="1"/>
  <c r="M20" i="7"/>
  <c r="M20" i="8" s="1"/>
  <c r="M20" i="9" s="1"/>
  <c r="M20" i="10" s="1"/>
  <c r="K20" i="7"/>
  <c r="K20" i="8" s="1"/>
  <c r="K20" i="9" s="1"/>
  <c r="K20" i="10" s="1"/>
  <c r="P15" i="7"/>
  <c r="P15" i="8" s="1"/>
  <c r="P15" i="9" s="1"/>
  <c r="P15" i="10" s="1"/>
  <c r="M15" i="7"/>
  <c r="M15" i="8" s="1"/>
  <c r="M15" i="9" s="1"/>
  <c r="M15" i="10" s="1"/>
  <c r="K15" i="7"/>
  <c r="K15" i="8" s="1"/>
  <c r="K15" i="9" s="1"/>
  <c r="K15" i="10" s="1"/>
  <c r="H21" i="7"/>
  <c r="H21" i="8" s="1"/>
  <c r="H21" i="9" s="1"/>
  <c r="H21" i="10" s="1"/>
  <c r="M24" i="7"/>
  <c r="M24" i="8" s="1"/>
  <c r="M24" i="9" s="1"/>
  <c r="M24" i="10" s="1"/>
  <c r="H15" i="7"/>
  <c r="H15" i="8" s="1"/>
  <c r="H15" i="9" s="1"/>
  <c r="H15" i="10" s="1"/>
  <c r="J24" i="7"/>
  <c r="J24" i="8" s="1"/>
  <c r="J24" i="9" s="1"/>
  <c r="J24" i="10" s="1"/>
  <c r="J16" i="7"/>
  <c r="J16" i="8" s="1"/>
  <c r="J16" i="9" s="1"/>
  <c r="J16" i="10" s="1"/>
  <c r="G20" i="7"/>
  <c r="G20" i="8" s="1"/>
  <c r="G20" i="9" s="1"/>
  <c r="G20" i="10" s="1"/>
  <c r="E24" i="7"/>
  <c r="E24" i="8" s="1"/>
  <c r="E24" i="9" s="1"/>
  <c r="E24" i="10" s="1"/>
  <c r="N19" i="7"/>
  <c r="N19" i="8" s="1"/>
  <c r="N19" i="9" s="1"/>
  <c r="N19" i="10" s="1"/>
  <c r="J21" i="7"/>
  <c r="J21" i="8" s="1"/>
  <c r="J21" i="9" s="1"/>
  <c r="J21" i="10" s="1"/>
  <c r="H24" i="8"/>
  <c r="H24" i="9" s="1"/>
  <c r="H24" i="10" s="1"/>
  <c r="H20" i="7"/>
  <c r="H20" i="8" s="1"/>
  <c r="H20" i="9" s="1"/>
  <c r="H20" i="10" s="1"/>
  <c r="H16" i="7"/>
  <c r="H16" i="8" s="1"/>
  <c r="H16" i="9" s="1"/>
  <c r="H16" i="10" s="1"/>
  <c r="G24" i="7"/>
  <c r="G24" i="8" s="1"/>
  <c r="G24" i="9" s="1"/>
  <c r="G24" i="10" s="1"/>
  <c r="G16" i="7"/>
  <c r="G16" i="8" s="1"/>
  <c r="G16" i="9" s="1"/>
  <c r="G16" i="10" s="1"/>
  <c r="E20" i="7"/>
  <c r="E20" i="8" s="1"/>
  <c r="E20" i="9" s="1"/>
  <c r="E20" i="10" s="1"/>
  <c r="E16" i="7"/>
  <c r="E16" i="8" s="1"/>
  <c r="E16" i="9" s="1"/>
  <c r="E16" i="10" s="1"/>
  <c r="N21" i="7"/>
  <c r="N21" i="8" s="1"/>
  <c r="N21" i="9" s="1"/>
  <c r="N21" i="10" s="1"/>
  <c r="J15" i="7"/>
  <c r="J15" i="8" s="1"/>
  <c r="J15" i="9" s="1"/>
  <c r="J15" i="10" s="1"/>
  <c r="P21" i="7"/>
  <c r="P21" i="8" s="1"/>
  <c r="P21" i="9" s="1"/>
  <c r="P21" i="10" s="1"/>
  <c r="N15" i="7"/>
  <c r="N15" i="8" s="1"/>
  <c r="N15" i="9" s="1"/>
  <c r="N15" i="10" s="1"/>
  <c r="H19" i="7"/>
  <c r="H19" i="8" s="1"/>
  <c r="H19" i="9" s="1"/>
  <c r="H19" i="10" s="1"/>
  <c r="G19" i="7"/>
  <c r="G19" i="8" s="1"/>
  <c r="G19" i="9" s="1"/>
  <c r="G19" i="10" s="1"/>
  <c r="M21" i="7"/>
  <c r="M21" i="8" s="1"/>
  <c r="M21" i="9" s="1"/>
  <c r="M21" i="10" s="1"/>
  <c r="K21" i="7"/>
  <c r="K21" i="8" s="1"/>
  <c r="K21" i="9" s="1"/>
  <c r="K21" i="10" s="1"/>
  <c r="G21" i="7"/>
  <c r="G21" i="8" s="1"/>
  <c r="G21" i="9" s="1"/>
  <c r="G21" i="10" s="1"/>
  <c r="F21" i="7"/>
  <c r="F21" i="8" s="1"/>
  <c r="F21" i="9" s="1"/>
  <c r="F21" i="10" s="1"/>
  <c r="F19" i="7"/>
  <c r="F19" i="8" s="1"/>
  <c r="F19" i="9" s="1"/>
  <c r="F19" i="10" s="1"/>
  <c r="F15" i="7"/>
  <c r="F15" i="8" s="1"/>
  <c r="F15" i="9" s="1"/>
  <c r="F15" i="10" s="1"/>
  <c r="F20" i="7"/>
  <c r="F20" i="8" s="1"/>
  <c r="F20" i="9" s="1"/>
  <c r="F20" i="10" s="1"/>
  <c r="I21" i="7"/>
  <c r="I21" i="8" s="1"/>
  <c r="I21" i="9" s="1"/>
  <c r="I21" i="10" s="1"/>
  <c r="I15" i="7"/>
  <c r="I15" i="8" s="1"/>
  <c r="I15" i="9" s="1"/>
  <c r="I15" i="10" s="1"/>
  <c r="L20" i="7"/>
  <c r="L20" i="8" s="1"/>
  <c r="L20" i="9" s="1"/>
  <c r="L20" i="10" s="1"/>
  <c r="I24" i="7"/>
  <c r="I24" i="8" s="1"/>
  <c r="I24" i="9" s="1"/>
  <c r="I24" i="10" s="1"/>
  <c r="F24" i="7"/>
  <c r="F24" i="8" s="1"/>
  <c r="F24" i="9" s="1"/>
  <c r="F24" i="10" s="1"/>
  <c r="L21" i="7"/>
  <c r="L21" i="8" s="1"/>
  <c r="L21" i="9" s="1"/>
  <c r="L21" i="10" s="1"/>
  <c r="I20" i="7"/>
  <c r="I20" i="8" s="1"/>
  <c r="I20" i="9" s="1"/>
  <c r="I20" i="10" s="1"/>
  <c r="I19" i="7"/>
  <c r="I19" i="8" s="1"/>
  <c r="I19" i="9" s="1"/>
  <c r="I19" i="10" s="1"/>
  <c r="L19" i="7"/>
  <c r="L19" i="8" s="1"/>
  <c r="L19" i="9" s="1"/>
  <c r="L19" i="10" s="1"/>
  <c r="O24" i="7"/>
  <c r="O24" i="8" s="1"/>
  <c r="O24" i="9" s="1"/>
  <c r="O24" i="10" s="1"/>
  <c r="O19" i="7"/>
  <c r="O19" i="8" s="1"/>
  <c r="O19" i="9" s="1"/>
  <c r="O19" i="10" s="1"/>
  <c r="O15" i="7"/>
  <c r="O15" i="8" s="1"/>
  <c r="O15" i="9" s="1"/>
  <c r="O15" i="10" s="1"/>
  <c r="L15" i="7"/>
  <c r="L15" i="8" s="1"/>
  <c r="L15" i="9" s="1"/>
  <c r="L15" i="10" s="1"/>
  <c r="L24" i="7"/>
  <c r="L24" i="8" s="1"/>
  <c r="L24" i="9" s="1"/>
  <c r="L24" i="10" s="1"/>
  <c r="O21" i="7"/>
  <c r="O21" i="8" s="1"/>
  <c r="O21" i="9" s="1"/>
  <c r="O21" i="10" s="1"/>
  <c r="K155" i="3"/>
  <c r="Y48" i="3" l="1"/>
  <c r="Y89" i="3"/>
  <c r="Y115" i="3"/>
  <c r="Y13" i="3"/>
  <c r="Y41" i="3"/>
  <c r="Y54" i="3"/>
  <c r="Y116" i="3" l="1"/>
  <c r="AA13" i="3"/>
  <c r="AA115" i="3"/>
  <c r="AA54" i="3"/>
  <c r="AA89" i="3"/>
  <c r="AA67" i="3"/>
  <c r="AA48" i="3"/>
  <c r="AA101" i="3"/>
  <c r="AA83" i="3"/>
  <c r="AC41" i="3"/>
  <c r="AA116" i="3" l="1"/>
  <c r="AE101" i="3"/>
  <c r="AC101" i="3"/>
  <c r="AE89" i="3"/>
  <c r="AC89" i="3"/>
  <c r="AE48" i="3"/>
  <c r="AC48" i="3"/>
  <c r="AE54" i="3"/>
  <c r="AC54" i="3"/>
  <c r="AC13" i="3"/>
  <c r="AE67" i="3"/>
  <c r="AC67" i="3"/>
  <c r="AE115" i="3"/>
  <c r="AC115" i="3"/>
  <c r="AE83" i="3"/>
  <c r="AC83" i="3"/>
  <c r="AE41" i="3"/>
  <c r="AC116" i="3" l="1"/>
  <c r="AE13" i="3"/>
  <c r="AE116" i="3" l="1"/>
  <c r="H23" i="2"/>
  <c r="J23" i="2" s="1"/>
  <c r="L23" i="2" s="1"/>
  <c r="N23" i="2" s="1"/>
  <c r="S21" i="1" l="1"/>
  <c r="A3" i="11"/>
  <c r="A3" i="10"/>
  <c r="A3" i="9"/>
  <c r="A3" i="7"/>
  <c r="A3" i="6"/>
  <c r="X21" i="1" l="1"/>
  <c r="U21" i="7"/>
  <c r="AD21" i="1"/>
  <c r="AA21" i="1"/>
  <c r="AP21" i="17" l="1"/>
  <c r="AR21" i="17" s="1"/>
  <c r="S21" i="7" l="1"/>
  <c r="V21" i="7" s="1"/>
  <c r="H22" i="2"/>
  <c r="J22" i="2" s="1"/>
  <c r="L22" i="2" s="1"/>
  <c r="N22" i="2" s="1"/>
  <c r="U21" i="8" l="1"/>
  <c r="G427" i="4"/>
  <c r="E112" i="17" l="1"/>
  <c r="A1" i="11"/>
  <c r="E17" i="11" l="1"/>
  <c r="Z427" i="4"/>
  <c r="AP112" i="17"/>
  <c r="E147" i="5"/>
  <c r="F147" i="5"/>
  <c r="G147" i="5"/>
  <c r="H147" i="5"/>
  <c r="I147" i="5"/>
  <c r="J147" i="5"/>
  <c r="K147" i="5"/>
  <c r="L147" i="5"/>
  <c r="M147" i="5"/>
  <c r="N147" i="5"/>
  <c r="O147" i="5"/>
  <c r="P147" i="5"/>
  <c r="E148" i="5"/>
  <c r="F148" i="5"/>
  <c r="G148" i="5"/>
  <c r="H148" i="5"/>
  <c r="I148" i="5"/>
  <c r="J148" i="5"/>
  <c r="K148" i="5"/>
  <c r="L148" i="5"/>
  <c r="M148" i="5"/>
  <c r="N148" i="5"/>
  <c r="O148" i="5"/>
  <c r="P148" i="5"/>
  <c r="E149" i="5"/>
  <c r="F149" i="5"/>
  <c r="G149" i="5"/>
  <c r="H149" i="5"/>
  <c r="I149" i="5"/>
  <c r="J149" i="5"/>
  <c r="K149" i="5"/>
  <c r="L149" i="5"/>
  <c r="M149" i="5"/>
  <c r="N149" i="5"/>
  <c r="O149" i="5"/>
  <c r="P149" i="5"/>
  <c r="E150" i="5"/>
  <c r="F150" i="5"/>
  <c r="G150" i="5"/>
  <c r="H150" i="5"/>
  <c r="I150" i="5"/>
  <c r="J150" i="5"/>
  <c r="K150" i="5"/>
  <c r="L150" i="5"/>
  <c r="M150" i="5"/>
  <c r="N150" i="5"/>
  <c r="O150" i="5"/>
  <c r="P150" i="5"/>
  <c r="E151" i="5"/>
  <c r="F151" i="5"/>
  <c r="G151" i="5"/>
  <c r="H151" i="5"/>
  <c r="I151" i="5"/>
  <c r="J151" i="5"/>
  <c r="K151" i="5"/>
  <c r="L151" i="5"/>
  <c r="M151" i="5"/>
  <c r="N151" i="5"/>
  <c r="O151" i="5"/>
  <c r="P151" i="5"/>
  <c r="E152" i="5"/>
  <c r="F152" i="5"/>
  <c r="G152" i="5"/>
  <c r="H152" i="5"/>
  <c r="I152" i="5"/>
  <c r="J152" i="5"/>
  <c r="K152" i="5"/>
  <c r="L152" i="5"/>
  <c r="M152" i="5"/>
  <c r="N152" i="5"/>
  <c r="O152" i="5"/>
  <c r="P152" i="5"/>
  <c r="E153" i="5"/>
  <c r="F153" i="5"/>
  <c r="G153" i="5"/>
  <c r="H153" i="5"/>
  <c r="I153" i="5"/>
  <c r="J153" i="5"/>
  <c r="K153" i="5"/>
  <c r="L153" i="5"/>
  <c r="M153" i="5"/>
  <c r="N153" i="5"/>
  <c r="O153" i="5"/>
  <c r="P153" i="5"/>
  <c r="E154" i="5"/>
  <c r="F154" i="5"/>
  <c r="G154" i="5"/>
  <c r="H154" i="5"/>
  <c r="I154" i="5"/>
  <c r="J154" i="5"/>
  <c r="K154" i="5"/>
  <c r="L154" i="5"/>
  <c r="M154" i="5"/>
  <c r="N154" i="5"/>
  <c r="O154" i="5"/>
  <c r="P154" i="5"/>
  <c r="E155" i="5"/>
  <c r="F155" i="5"/>
  <c r="G155" i="5"/>
  <c r="H155" i="5"/>
  <c r="I155" i="5"/>
  <c r="J155" i="5"/>
  <c r="K155" i="5"/>
  <c r="L155" i="5"/>
  <c r="M155" i="5"/>
  <c r="N155" i="5"/>
  <c r="O155" i="5"/>
  <c r="P155" i="5"/>
  <c r="E156" i="5"/>
  <c r="F156" i="5"/>
  <c r="G156" i="5"/>
  <c r="H156" i="5"/>
  <c r="I156" i="5"/>
  <c r="J156" i="5"/>
  <c r="K156" i="5"/>
  <c r="L156" i="5"/>
  <c r="M156" i="5"/>
  <c r="N156" i="5"/>
  <c r="O156" i="5"/>
  <c r="P156" i="5"/>
  <c r="E157" i="5"/>
  <c r="F157" i="5"/>
  <c r="G157" i="5"/>
  <c r="H157" i="5"/>
  <c r="I157" i="5"/>
  <c r="J157" i="5"/>
  <c r="K157" i="5"/>
  <c r="L157" i="5"/>
  <c r="M157" i="5"/>
  <c r="N157" i="5"/>
  <c r="O157" i="5"/>
  <c r="P157" i="5"/>
  <c r="F146" i="5"/>
  <c r="G146" i="5"/>
  <c r="H146" i="5"/>
  <c r="I146" i="5"/>
  <c r="J146" i="5"/>
  <c r="K146" i="5"/>
  <c r="L146" i="5"/>
  <c r="M146" i="5"/>
  <c r="N146" i="5"/>
  <c r="O146" i="5"/>
  <c r="P146" i="5"/>
  <c r="E146" i="5"/>
  <c r="G17" i="11" l="1"/>
  <c r="J160" i="5"/>
  <c r="L160" i="5"/>
  <c r="P160" i="5"/>
  <c r="H160" i="5"/>
  <c r="I160" i="5"/>
  <c r="K160" i="5"/>
  <c r="E160" i="5"/>
  <c r="O160" i="5"/>
  <c r="N160" i="5"/>
  <c r="F160" i="5"/>
  <c r="G160" i="5"/>
  <c r="M160" i="5"/>
  <c r="R24" i="2"/>
  <c r="S24" i="2"/>
  <c r="T24" i="2"/>
  <c r="U24" i="2"/>
  <c r="V24" i="2"/>
  <c r="W24" i="2"/>
  <c r="X24" i="2"/>
  <c r="Y24" i="2"/>
  <c r="Z24" i="2"/>
  <c r="AA24" i="2"/>
  <c r="AB24" i="2"/>
  <c r="F202" i="4" l="1"/>
  <c r="F196" i="4"/>
  <c r="F190" i="4"/>
  <c r="F395" i="4"/>
  <c r="G9" i="16"/>
  <c r="G41" i="16" s="1"/>
  <c r="Q160" i="5"/>
  <c r="K190" i="4" l="1"/>
  <c r="N190" i="4"/>
  <c r="N193" i="4" s="1"/>
  <c r="H83" i="1" s="1"/>
  <c r="Q190" i="4"/>
  <c r="Q193" i="4" s="1"/>
  <c r="K83" i="1" s="1"/>
  <c r="M190" i="4"/>
  <c r="M193" i="4" s="1"/>
  <c r="G83" i="1" s="1"/>
  <c r="O190" i="4"/>
  <c r="O193" i="4" s="1"/>
  <c r="I83" i="1" s="1"/>
  <c r="V190" i="4"/>
  <c r="V193" i="4" s="1"/>
  <c r="P83" i="1" s="1"/>
  <c r="R190" i="4"/>
  <c r="R193" i="4" s="1"/>
  <c r="L83" i="1" s="1"/>
  <c r="U190" i="4"/>
  <c r="U193" i="4" s="1"/>
  <c r="O83" i="1" s="1"/>
  <c r="P190" i="4"/>
  <c r="P193" i="4" s="1"/>
  <c r="J83" i="1" s="1"/>
  <c r="T190" i="4"/>
  <c r="T193" i="4" s="1"/>
  <c r="N83" i="1" s="1"/>
  <c r="L190" i="4"/>
  <c r="L193" i="4" s="1"/>
  <c r="F83" i="1" s="1"/>
  <c r="S190" i="4"/>
  <c r="S193" i="4" s="1"/>
  <c r="M83" i="1" s="1"/>
  <c r="H190" i="4"/>
  <c r="K196" i="4"/>
  <c r="Q196" i="4"/>
  <c r="Q199" i="4" s="1"/>
  <c r="K84" i="1" s="1"/>
  <c r="T196" i="4"/>
  <c r="T199" i="4" s="1"/>
  <c r="N84" i="1" s="1"/>
  <c r="R196" i="4"/>
  <c r="R199" i="4" s="1"/>
  <c r="L84" i="1" s="1"/>
  <c r="N196" i="4"/>
  <c r="N199" i="4" s="1"/>
  <c r="H84" i="1" s="1"/>
  <c r="V196" i="4"/>
  <c r="V199" i="4" s="1"/>
  <c r="P84" i="1" s="1"/>
  <c r="S196" i="4"/>
  <c r="S199" i="4" s="1"/>
  <c r="M84" i="1" s="1"/>
  <c r="P196" i="4"/>
  <c r="P199" i="4" s="1"/>
  <c r="J84" i="1" s="1"/>
  <c r="L196" i="4"/>
  <c r="L199" i="4" s="1"/>
  <c r="F84" i="1" s="1"/>
  <c r="O196" i="4"/>
  <c r="O199" i="4" s="1"/>
  <c r="I84" i="1" s="1"/>
  <c r="U196" i="4"/>
  <c r="U199" i="4" s="1"/>
  <c r="O84" i="1" s="1"/>
  <c r="M196" i="4"/>
  <c r="M199" i="4" s="1"/>
  <c r="G84" i="1" s="1"/>
  <c r="M202" i="4"/>
  <c r="M205" i="4" s="1"/>
  <c r="G85" i="1" s="1"/>
  <c r="S202" i="4"/>
  <c r="S205" i="4" s="1"/>
  <c r="M85" i="1" s="1"/>
  <c r="T202" i="4"/>
  <c r="T205" i="4" s="1"/>
  <c r="N85" i="1" s="1"/>
  <c r="U202" i="4"/>
  <c r="U205" i="4" s="1"/>
  <c r="O85" i="1" s="1"/>
  <c r="L202" i="4"/>
  <c r="L205" i="4" s="1"/>
  <c r="F85" i="1" s="1"/>
  <c r="N202" i="4"/>
  <c r="N205" i="4" s="1"/>
  <c r="H85" i="1" s="1"/>
  <c r="V202" i="4"/>
  <c r="V205" i="4" s="1"/>
  <c r="P85" i="1" s="1"/>
  <c r="O202" i="4"/>
  <c r="O205" i="4" s="1"/>
  <c r="I85" i="1" s="1"/>
  <c r="P202" i="4"/>
  <c r="P205" i="4" s="1"/>
  <c r="J85" i="1" s="1"/>
  <c r="Q202" i="4"/>
  <c r="Q205" i="4" s="1"/>
  <c r="K85" i="1" s="1"/>
  <c r="K202" i="4"/>
  <c r="R202" i="4"/>
  <c r="R205" i="4" s="1"/>
  <c r="L85" i="1" s="1"/>
  <c r="J42" i="11"/>
  <c r="H9" i="16"/>
  <c r="F36" i="11"/>
  <c r="H193" i="4" l="1"/>
  <c r="F83" i="17"/>
  <c r="G71" i="18" s="1"/>
  <c r="F71" i="18" s="1"/>
  <c r="W202" i="4"/>
  <c r="W205" i="4" s="1"/>
  <c r="H202" i="4"/>
  <c r="K205" i="4"/>
  <c r="E85" i="1" s="1"/>
  <c r="U85" i="1" s="1"/>
  <c r="K199" i="4"/>
  <c r="E84" i="1" s="1"/>
  <c r="U84" i="1" s="1"/>
  <c r="W196" i="4"/>
  <c r="W199" i="4" s="1"/>
  <c r="H196" i="4"/>
  <c r="H199" i="4" s="1"/>
  <c r="X199" i="4" s="1"/>
  <c r="W190" i="4"/>
  <c r="W193" i="4" s="1"/>
  <c r="K193" i="4"/>
  <c r="E83" i="1" s="1"/>
  <c r="U83" i="1" s="1"/>
  <c r="S136" i="10"/>
  <c r="M147" i="6" s="1"/>
  <c r="S135" i="10"/>
  <c r="M146" i="6" s="1"/>
  <c r="S133" i="10"/>
  <c r="M144" i="6" s="1"/>
  <c r="S132" i="10"/>
  <c r="M143" i="6" s="1"/>
  <c r="S130" i="10"/>
  <c r="M141" i="6" s="1"/>
  <c r="S129" i="10"/>
  <c r="M140" i="6" s="1"/>
  <c r="S127" i="10"/>
  <c r="M138" i="6" s="1"/>
  <c r="S126" i="10"/>
  <c r="M137" i="6" s="1"/>
  <c r="S125" i="10"/>
  <c r="M136" i="6" s="1"/>
  <c r="S124" i="10"/>
  <c r="M135" i="6" s="1"/>
  <c r="F4" i="10"/>
  <c r="G4" i="10" s="1"/>
  <c r="H4" i="10" s="1"/>
  <c r="I4" i="10" s="1"/>
  <c r="J4" i="10" s="1"/>
  <c r="K4" i="10" s="1"/>
  <c r="L4" i="10" s="1"/>
  <c r="M4" i="10" s="1"/>
  <c r="N4" i="10" s="1"/>
  <c r="O4" i="10" s="1"/>
  <c r="P4" i="10" s="1"/>
  <c r="A1" i="10"/>
  <c r="S136" i="9"/>
  <c r="K147" i="6" s="1"/>
  <c r="S135" i="9"/>
  <c r="K146" i="6" s="1"/>
  <c r="S133" i="9"/>
  <c r="K144" i="6" s="1"/>
  <c r="S132" i="9"/>
  <c r="K143" i="6" s="1"/>
  <c r="S130" i="9"/>
  <c r="K141" i="6" s="1"/>
  <c r="S129" i="9"/>
  <c r="K140" i="6" s="1"/>
  <c r="S127" i="9"/>
  <c r="K138" i="6" s="1"/>
  <c r="S126" i="9"/>
  <c r="K137" i="6" s="1"/>
  <c r="S125" i="9"/>
  <c r="K136" i="6" s="1"/>
  <c r="S124" i="9"/>
  <c r="K135" i="6" s="1"/>
  <c r="F4" i="9"/>
  <c r="G4" i="9" s="1"/>
  <c r="H4" i="9" s="1"/>
  <c r="I4" i="9" s="1"/>
  <c r="J4" i="9" s="1"/>
  <c r="K4" i="9" s="1"/>
  <c r="L4" i="9" s="1"/>
  <c r="M4" i="9" s="1"/>
  <c r="N4" i="9" s="1"/>
  <c r="O4" i="9" s="1"/>
  <c r="P4" i="9" s="1"/>
  <c r="A1" i="9"/>
  <c r="H205" i="4" l="1"/>
  <c r="X205" i="4" s="1"/>
  <c r="F85" i="17"/>
  <c r="G73" i="18" s="1"/>
  <c r="F73" i="18" s="1"/>
  <c r="F109" i="17"/>
  <c r="X193" i="4"/>
  <c r="S136" i="8"/>
  <c r="I147" i="6" s="1"/>
  <c r="S135" i="8"/>
  <c r="I146" i="6" s="1"/>
  <c r="S133" i="8"/>
  <c r="I144" i="6" s="1"/>
  <c r="S132" i="8"/>
  <c r="I143" i="6" s="1"/>
  <c r="S130" i="8"/>
  <c r="I141" i="6" s="1"/>
  <c r="S129" i="8"/>
  <c r="I140" i="6" s="1"/>
  <c r="S127" i="8"/>
  <c r="I138" i="6" s="1"/>
  <c r="S126" i="8"/>
  <c r="I137" i="6" s="1"/>
  <c r="S125" i="8"/>
  <c r="I136" i="6" s="1"/>
  <c r="S124" i="8"/>
  <c r="I135" i="6" s="1"/>
  <c r="F4" i="8"/>
  <c r="G4" i="8" s="1"/>
  <c r="H4" i="8" s="1"/>
  <c r="I4" i="8" s="1"/>
  <c r="J4" i="8" s="1"/>
  <c r="K4" i="8" s="1"/>
  <c r="L4" i="8" s="1"/>
  <c r="M4" i="8" s="1"/>
  <c r="N4" i="8" s="1"/>
  <c r="O4" i="8" s="1"/>
  <c r="P4" i="8" s="1"/>
  <c r="A1" i="8"/>
  <c r="S136" i="7" l="1"/>
  <c r="G147" i="6" s="1"/>
  <c r="S135" i="7"/>
  <c r="G146" i="6" s="1"/>
  <c r="S133" i="7"/>
  <c r="G144" i="6" s="1"/>
  <c r="S132" i="7"/>
  <c r="G143" i="6" s="1"/>
  <c r="S130" i="7"/>
  <c r="G141" i="6" s="1"/>
  <c r="S129" i="7"/>
  <c r="G140" i="6" s="1"/>
  <c r="S127" i="7"/>
  <c r="G138" i="6" s="1"/>
  <c r="S126" i="7"/>
  <c r="G137" i="6" s="1"/>
  <c r="S125" i="7"/>
  <c r="G136" i="6" s="1"/>
  <c r="S124" i="7"/>
  <c r="G135" i="6" s="1"/>
  <c r="F4" i="7"/>
  <c r="G4" i="7" s="1"/>
  <c r="H4" i="7" s="1"/>
  <c r="I4" i="7" s="1"/>
  <c r="J4" i="7" s="1"/>
  <c r="K4" i="7" s="1"/>
  <c r="L4" i="7" s="1"/>
  <c r="M4" i="7" s="1"/>
  <c r="N4" i="7" s="1"/>
  <c r="O4" i="7" s="1"/>
  <c r="P4" i="7" s="1"/>
  <c r="A1" i="7"/>
  <c r="M9" i="6"/>
  <c r="K9" i="6"/>
  <c r="I9" i="6"/>
  <c r="G9" i="6"/>
  <c r="E91" i="7" s="1"/>
  <c r="E91" i="8" s="1"/>
  <c r="E91" i="9" s="1"/>
  <c r="E91" i="10" s="1"/>
  <c r="G7" i="6"/>
  <c r="E7" i="6"/>
  <c r="S136" i="1"/>
  <c r="S135" i="1"/>
  <c r="S133" i="1"/>
  <c r="S132" i="1"/>
  <c r="S130" i="1"/>
  <c r="S129" i="1"/>
  <c r="S127" i="1"/>
  <c r="S126" i="1"/>
  <c r="S125" i="1"/>
  <c r="S124" i="1"/>
  <c r="N92" i="7" l="1"/>
  <c r="N92" i="8" s="1"/>
  <c r="N92" i="9" s="1"/>
  <c r="N92" i="10" s="1"/>
  <c r="M92" i="7"/>
  <c r="M92" i="8" s="1"/>
  <c r="M92" i="9" s="1"/>
  <c r="M92" i="10" s="1"/>
  <c r="K92" i="7"/>
  <c r="K92" i="8" s="1"/>
  <c r="K92" i="9" s="1"/>
  <c r="K92" i="10" s="1"/>
  <c r="E92" i="7"/>
  <c r="E92" i="8" s="1"/>
  <c r="E92" i="9" s="1"/>
  <c r="E92" i="10" s="1"/>
  <c r="J92" i="7"/>
  <c r="J92" i="8" s="1"/>
  <c r="J92" i="9" s="1"/>
  <c r="J92" i="10" s="1"/>
  <c r="O92" i="7"/>
  <c r="O92" i="8" s="1"/>
  <c r="O92" i="9" s="1"/>
  <c r="O92" i="10" s="1"/>
  <c r="I92" i="7"/>
  <c r="I92" i="8" s="1"/>
  <c r="I92" i="9" s="1"/>
  <c r="I92" i="10" s="1"/>
  <c r="G92" i="7"/>
  <c r="G92" i="8" s="1"/>
  <c r="G92" i="9" s="1"/>
  <c r="G92" i="10" s="1"/>
  <c r="P92" i="7"/>
  <c r="P92" i="8" s="1"/>
  <c r="P92" i="9" s="1"/>
  <c r="P92" i="10" s="1"/>
  <c r="F92" i="7"/>
  <c r="F92" i="8" s="1"/>
  <c r="F92" i="9" s="1"/>
  <c r="F92" i="10" s="1"/>
  <c r="E35" i="7"/>
  <c r="E35" i="8" s="1"/>
  <c r="E35" i="9" s="1"/>
  <c r="E35" i="10" s="1"/>
  <c r="F35" i="7"/>
  <c r="F35" i="8" s="1"/>
  <c r="F35" i="9" s="1"/>
  <c r="F35" i="10" s="1"/>
  <c r="L35" i="7"/>
  <c r="L35" i="8" s="1"/>
  <c r="L35" i="9" s="1"/>
  <c r="L35" i="10" s="1"/>
  <c r="O35" i="7"/>
  <c r="O35" i="8" s="1"/>
  <c r="O35" i="9" s="1"/>
  <c r="O35" i="10" s="1"/>
  <c r="G35" i="7"/>
  <c r="G35" i="8" s="1"/>
  <c r="G35" i="9" s="1"/>
  <c r="G35" i="10" s="1"/>
  <c r="H35" i="7"/>
  <c r="H35" i="8" s="1"/>
  <c r="H35" i="9" s="1"/>
  <c r="H35" i="10" s="1"/>
  <c r="N35" i="7"/>
  <c r="N35" i="8" s="1"/>
  <c r="N35" i="9" s="1"/>
  <c r="N35" i="10" s="1"/>
  <c r="P35" i="7"/>
  <c r="P35" i="8" s="1"/>
  <c r="P35" i="9" s="1"/>
  <c r="P35" i="10" s="1"/>
  <c r="J35" i="7"/>
  <c r="J35" i="8" s="1"/>
  <c r="J35" i="9" s="1"/>
  <c r="J35" i="10" s="1"/>
  <c r="I35" i="7"/>
  <c r="I35" i="8" s="1"/>
  <c r="I35" i="9" s="1"/>
  <c r="I35" i="10" s="1"/>
  <c r="K35" i="7"/>
  <c r="K35" i="8" s="1"/>
  <c r="K35" i="9" s="1"/>
  <c r="K35" i="10" s="1"/>
  <c r="M35" i="7"/>
  <c r="M35" i="8" s="1"/>
  <c r="M35" i="9" s="1"/>
  <c r="M35" i="10" s="1"/>
  <c r="I68" i="7"/>
  <c r="I68" i="8" s="1"/>
  <c r="I68" i="9" s="1"/>
  <c r="I68" i="10" s="1"/>
  <c r="N68" i="7"/>
  <c r="N68" i="8" s="1"/>
  <c r="N68" i="9" s="1"/>
  <c r="N68" i="10" s="1"/>
  <c r="H68" i="7"/>
  <c r="H68" i="8" s="1"/>
  <c r="H68" i="9" s="1"/>
  <c r="H68" i="10" s="1"/>
  <c r="E68" i="7"/>
  <c r="E68" i="8" s="1"/>
  <c r="E68" i="9" s="1"/>
  <c r="E68" i="10" s="1"/>
  <c r="G68" i="7"/>
  <c r="G68" i="8" s="1"/>
  <c r="G68" i="9" s="1"/>
  <c r="G68" i="10" s="1"/>
  <c r="J68" i="7"/>
  <c r="J68" i="8" s="1"/>
  <c r="J68" i="9" s="1"/>
  <c r="J68" i="10" s="1"/>
  <c r="P68" i="7"/>
  <c r="P68" i="8" s="1"/>
  <c r="P68" i="9" s="1"/>
  <c r="P68" i="10" s="1"/>
  <c r="L68" i="7"/>
  <c r="L68" i="8" s="1"/>
  <c r="L68" i="9" s="1"/>
  <c r="L68" i="10" s="1"/>
  <c r="M68" i="7"/>
  <c r="M68" i="8" s="1"/>
  <c r="M68" i="9" s="1"/>
  <c r="M68" i="10" s="1"/>
  <c r="K68" i="7"/>
  <c r="K68" i="8" s="1"/>
  <c r="K68" i="9" s="1"/>
  <c r="K68" i="10" s="1"/>
  <c r="F68" i="7"/>
  <c r="F68" i="8" s="1"/>
  <c r="F68" i="9" s="1"/>
  <c r="F68" i="10" s="1"/>
  <c r="O68" i="7"/>
  <c r="O68" i="8" s="1"/>
  <c r="O68" i="9" s="1"/>
  <c r="O68" i="10" s="1"/>
  <c r="M49" i="8"/>
  <c r="M49" i="9" s="1"/>
  <c r="M49" i="10" s="1"/>
  <c r="L49" i="8"/>
  <c r="L49" i="9" s="1"/>
  <c r="L49" i="10" s="1"/>
  <c r="J49" i="8"/>
  <c r="J49" i="9" s="1"/>
  <c r="J49" i="10" s="1"/>
  <c r="I49" i="8"/>
  <c r="I49" i="9" s="1"/>
  <c r="I49" i="10" s="1"/>
  <c r="H49" i="8"/>
  <c r="H49" i="9" s="1"/>
  <c r="H49" i="10" s="1"/>
  <c r="G49" i="8"/>
  <c r="G49" i="9" s="1"/>
  <c r="G49" i="10" s="1"/>
  <c r="E49" i="8"/>
  <c r="E49" i="9" s="1"/>
  <c r="E49" i="10" s="1"/>
  <c r="P49" i="8"/>
  <c r="P49" i="9" s="1"/>
  <c r="P49" i="10" s="1"/>
  <c r="F49" i="8"/>
  <c r="F49" i="9" s="1"/>
  <c r="F49" i="10" s="1"/>
  <c r="O49" i="8"/>
  <c r="O49" i="9" s="1"/>
  <c r="O49" i="10" s="1"/>
  <c r="N49" i="8"/>
  <c r="N49" i="9" s="1"/>
  <c r="N49" i="10" s="1"/>
  <c r="K49" i="8"/>
  <c r="K49" i="9" s="1"/>
  <c r="K49" i="10" s="1"/>
  <c r="K53" i="7"/>
  <c r="K53" i="8" s="1"/>
  <c r="K53" i="9" s="1"/>
  <c r="K53" i="10" s="1"/>
  <c r="F31" i="7"/>
  <c r="F31" i="8" s="1"/>
  <c r="F31" i="9" s="1"/>
  <c r="F31" i="10" s="1"/>
  <c r="P36" i="7"/>
  <c r="P36" i="8" s="1"/>
  <c r="P36" i="9" s="1"/>
  <c r="P36" i="10" s="1"/>
  <c r="G31" i="7"/>
  <c r="G31" i="8" s="1"/>
  <c r="G31" i="9" s="1"/>
  <c r="G31" i="10" s="1"/>
  <c r="M34" i="7"/>
  <c r="M34" i="8" s="1"/>
  <c r="M34" i="9" s="1"/>
  <c r="M34" i="10" s="1"/>
  <c r="J37" i="8"/>
  <c r="J37" i="9" s="1"/>
  <c r="J37" i="10" s="1"/>
  <c r="F36" i="7"/>
  <c r="F36" i="8" s="1"/>
  <c r="F36" i="9" s="1"/>
  <c r="F36" i="10" s="1"/>
  <c r="K31" i="7"/>
  <c r="K31" i="8" s="1"/>
  <c r="K31" i="9" s="1"/>
  <c r="K31" i="10" s="1"/>
  <c r="M31" i="7"/>
  <c r="M31" i="8" s="1"/>
  <c r="M31" i="9" s="1"/>
  <c r="M31" i="10" s="1"/>
  <c r="L39" i="7"/>
  <c r="L39" i="8" s="1"/>
  <c r="L39" i="9" s="1"/>
  <c r="L39" i="10" s="1"/>
  <c r="N47" i="7"/>
  <c r="N47" i="8" s="1"/>
  <c r="N47" i="9" s="1"/>
  <c r="N47" i="10" s="1"/>
  <c r="J53" i="7"/>
  <c r="J53" i="8" s="1"/>
  <c r="J53" i="9" s="1"/>
  <c r="J53" i="10" s="1"/>
  <c r="K55" i="8"/>
  <c r="K55" i="9" s="1"/>
  <c r="K55" i="10" s="1"/>
  <c r="L38" i="7"/>
  <c r="L38" i="8" s="1"/>
  <c r="L38" i="9" s="1"/>
  <c r="L38" i="10" s="1"/>
  <c r="M38" i="7"/>
  <c r="M38" i="8" s="1"/>
  <c r="M38" i="9" s="1"/>
  <c r="M38" i="10" s="1"/>
  <c r="J31" i="7"/>
  <c r="J31" i="8" s="1"/>
  <c r="J31" i="9" s="1"/>
  <c r="J31" i="10" s="1"/>
  <c r="G40" i="7"/>
  <c r="G40" i="8" s="1"/>
  <c r="G40" i="9" s="1"/>
  <c r="G40" i="10" s="1"/>
  <c r="J34" i="7"/>
  <c r="J34" i="8" s="1"/>
  <c r="J34" i="9" s="1"/>
  <c r="J34" i="10" s="1"/>
  <c r="M40" i="7"/>
  <c r="M40" i="8" s="1"/>
  <c r="M40" i="9" s="1"/>
  <c r="M40" i="10" s="1"/>
  <c r="L47" i="7"/>
  <c r="L47" i="8" s="1"/>
  <c r="L47" i="9" s="1"/>
  <c r="L47" i="10" s="1"/>
  <c r="I53" i="7"/>
  <c r="I53" i="8" s="1"/>
  <c r="I53" i="9" s="1"/>
  <c r="I53" i="10" s="1"/>
  <c r="N55" i="8"/>
  <c r="N55" i="9" s="1"/>
  <c r="N55" i="10" s="1"/>
  <c r="I55" i="8"/>
  <c r="I55" i="9" s="1"/>
  <c r="I55" i="10" s="1"/>
  <c r="F47" i="7"/>
  <c r="F47" i="8" s="1"/>
  <c r="F47" i="9" s="1"/>
  <c r="F47" i="10" s="1"/>
  <c r="H55" i="8"/>
  <c r="H55" i="9" s="1"/>
  <c r="H55" i="10" s="1"/>
  <c r="F39" i="7"/>
  <c r="F39" i="8" s="1"/>
  <c r="F39" i="9" s="1"/>
  <c r="F39" i="10" s="1"/>
  <c r="G38" i="7"/>
  <c r="G38" i="8" s="1"/>
  <c r="G38" i="9" s="1"/>
  <c r="G38" i="10" s="1"/>
  <c r="L54" i="7"/>
  <c r="L54" i="8" s="1"/>
  <c r="L54" i="9" s="1"/>
  <c r="L54" i="10" s="1"/>
  <c r="K54" i="7"/>
  <c r="K54" i="8" s="1"/>
  <c r="K54" i="9" s="1"/>
  <c r="K54" i="10" s="1"/>
  <c r="G32" i="7"/>
  <c r="G32" i="8" s="1"/>
  <c r="G32" i="9" s="1"/>
  <c r="G32" i="10" s="1"/>
  <c r="E31" i="7"/>
  <c r="E31" i="8" s="1"/>
  <c r="E31" i="9" s="1"/>
  <c r="E31" i="10" s="1"/>
  <c r="N33" i="8"/>
  <c r="N33" i="9" s="1"/>
  <c r="N33" i="10" s="1"/>
  <c r="O32" i="7"/>
  <c r="O32" i="8" s="1"/>
  <c r="O32" i="9" s="1"/>
  <c r="O32" i="10" s="1"/>
  <c r="E34" i="7"/>
  <c r="E34" i="8" s="1"/>
  <c r="E34" i="9" s="1"/>
  <c r="E34" i="10" s="1"/>
  <c r="F38" i="7"/>
  <c r="F38" i="8" s="1"/>
  <c r="F38" i="9" s="1"/>
  <c r="F38" i="10" s="1"/>
  <c r="K47" i="7"/>
  <c r="K47" i="8" s="1"/>
  <c r="K47" i="9" s="1"/>
  <c r="K47" i="10" s="1"/>
  <c r="H53" i="7"/>
  <c r="H53" i="8" s="1"/>
  <c r="H53" i="9" s="1"/>
  <c r="H53" i="10" s="1"/>
  <c r="O54" i="7"/>
  <c r="O54" i="8" s="1"/>
  <c r="O54" i="9" s="1"/>
  <c r="O54" i="10" s="1"/>
  <c r="J55" i="8"/>
  <c r="J55" i="9" s="1"/>
  <c r="J55" i="10" s="1"/>
  <c r="L37" i="8"/>
  <c r="L37" i="9" s="1"/>
  <c r="L37" i="10" s="1"/>
  <c r="K32" i="7"/>
  <c r="K32" i="8" s="1"/>
  <c r="K32" i="9" s="1"/>
  <c r="K32" i="10" s="1"/>
  <c r="P38" i="7"/>
  <c r="P38" i="8" s="1"/>
  <c r="P38" i="9" s="1"/>
  <c r="P38" i="10" s="1"/>
  <c r="E36" i="7"/>
  <c r="E36" i="8" s="1"/>
  <c r="E36" i="9" s="1"/>
  <c r="E36" i="10" s="1"/>
  <c r="F37" i="8"/>
  <c r="F37" i="9" s="1"/>
  <c r="F37" i="10" s="1"/>
  <c r="M32" i="7"/>
  <c r="M32" i="8" s="1"/>
  <c r="M32" i="9" s="1"/>
  <c r="M32" i="10" s="1"/>
  <c r="J47" i="7"/>
  <c r="J47" i="8" s="1"/>
  <c r="J47" i="9" s="1"/>
  <c r="J47" i="10" s="1"/>
  <c r="E53" i="7"/>
  <c r="E53" i="8" s="1"/>
  <c r="E53" i="9" s="1"/>
  <c r="E53" i="10" s="1"/>
  <c r="N54" i="7"/>
  <c r="N54" i="8" s="1"/>
  <c r="N54" i="9" s="1"/>
  <c r="N54" i="10" s="1"/>
  <c r="F53" i="7"/>
  <c r="F53" i="8" s="1"/>
  <c r="F53" i="9" s="1"/>
  <c r="F53" i="10" s="1"/>
  <c r="N37" i="8"/>
  <c r="N37" i="9" s="1"/>
  <c r="N37" i="10" s="1"/>
  <c r="P47" i="7"/>
  <c r="P47" i="8" s="1"/>
  <c r="P47" i="9" s="1"/>
  <c r="P47" i="10" s="1"/>
  <c r="G55" i="8"/>
  <c r="G55" i="9" s="1"/>
  <c r="G55" i="10" s="1"/>
  <c r="J40" i="7"/>
  <c r="J40" i="8" s="1"/>
  <c r="J40" i="9" s="1"/>
  <c r="J40" i="10" s="1"/>
  <c r="M47" i="7"/>
  <c r="M47" i="8" s="1"/>
  <c r="M47" i="9" s="1"/>
  <c r="M47" i="10" s="1"/>
  <c r="E39" i="7"/>
  <c r="E39" i="8" s="1"/>
  <c r="E39" i="9" s="1"/>
  <c r="E39" i="10" s="1"/>
  <c r="N34" i="7"/>
  <c r="N34" i="8" s="1"/>
  <c r="N34" i="9" s="1"/>
  <c r="N34" i="10" s="1"/>
  <c r="O31" i="7"/>
  <c r="O31" i="8" s="1"/>
  <c r="O31" i="9" s="1"/>
  <c r="O31" i="10" s="1"/>
  <c r="G39" i="7"/>
  <c r="G39" i="8" s="1"/>
  <c r="G39" i="9" s="1"/>
  <c r="G39" i="10" s="1"/>
  <c r="M39" i="7"/>
  <c r="M39" i="8" s="1"/>
  <c r="M39" i="9" s="1"/>
  <c r="M39" i="10" s="1"/>
  <c r="F32" i="7"/>
  <c r="F32" i="8" s="1"/>
  <c r="F32" i="9" s="1"/>
  <c r="F32" i="10" s="1"/>
  <c r="H47" i="7"/>
  <c r="H47" i="8" s="1"/>
  <c r="H47" i="9" s="1"/>
  <c r="H47" i="10" s="1"/>
  <c r="G53" i="7"/>
  <c r="G53" i="8" s="1"/>
  <c r="G53" i="9" s="1"/>
  <c r="G53" i="10" s="1"/>
  <c r="M54" i="7"/>
  <c r="M54" i="8" s="1"/>
  <c r="M54" i="9" s="1"/>
  <c r="M54" i="10" s="1"/>
  <c r="P55" i="8"/>
  <c r="P55" i="9" s="1"/>
  <c r="P55" i="10" s="1"/>
  <c r="H32" i="7"/>
  <c r="H32" i="8" s="1"/>
  <c r="H32" i="9" s="1"/>
  <c r="H32" i="10" s="1"/>
  <c r="I36" i="7"/>
  <c r="I36" i="8" s="1"/>
  <c r="I36" i="9" s="1"/>
  <c r="I36" i="10" s="1"/>
  <c r="H36" i="7"/>
  <c r="H36" i="8" s="1"/>
  <c r="H36" i="9" s="1"/>
  <c r="H36" i="10" s="1"/>
  <c r="F34" i="7"/>
  <c r="F34" i="8" s="1"/>
  <c r="F34" i="9" s="1"/>
  <c r="F34" i="10" s="1"/>
  <c r="L34" i="7"/>
  <c r="L34" i="8" s="1"/>
  <c r="L34" i="9" s="1"/>
  <c r="L34" i="10" s="1"/>
  <c r="E54" i="7"/>
  <c r="E54" i="8" s="1"/>
  <c r="E54" i="9" s="1"/>
  <c r="E54" i="10" s="1"/>
  <c r="G36" i="7"/>
  <c r="G36" i="8" s="1"/>
  <c r="G36" i="9" s="1"/>
  <c r="G36" i="10" s="1"/>
  <c r="G37" i="8"/>
  <c r="G37" i="9" s="1"/>
  <c r="G37" i="10" s="1"/>
  <c r="F55" i="8"/>
  <c r="F55" i="9" s="1"/>
  <c r="F55" i="10" s="1"/>
  <c r="K40" i="7"/>
  <c r="K40" i="8" s="1"/>
  <c r="K40" i="9" s="1"/>
  <c r="K40" i="10" s="1"/>
  <c r="P39" i="7"/>
  <c r="P39" i="8" s="1"/>
  <c r="P39" i="9" s="1"/>
  <c r="P39" i="10" s="1"/>
  <c r="N38" i="7"/>
  <c r="N38" i="8" s="1"/>
  <c r="N38" i="9" s="1"/>
  <c r="N38" i="10" s="1"/>
  <c r="H31" i="7"/>
  <c r="H31" i="8" s="1"/>
  <c r="H31" i="9" s="1"/>
  <c r="H31" i="10" s="1"/>
  <c r="E32" i="7"/>
  <c r="E32" i="8" s="1"/>
  <c r="E32" i="9" s="1"/>
  <c r="E32" i="10" s="1"/>
  <c r="H40" i="7"/>
  <c r="H40" i="8" s="1"/>
  <c r="H40" i="9" s="1"/>
  <c r="H40" i="10" s="1"/>
  <c r="L32" i="7"/>
  <c r="L32" i="8" s="1"/>
  <c r="L32" i="9" s="1"/>
  <c r="L32" i="10" s="1"/>
  <c r="L31" i="7"/>
  <c r="L31" i="8" s="1"/>
  <c r="L31" i="9" s="1"/>
  <c r="L31" i="10" s="1"/>
  <c r="H33" i="8"/>
  <c r="H33" i="9" s="1"/>
  <c r="H33" i="10" s="1"/>
  <c r="N31" i="7"/>
  <c r="N31" i="8" s="1"/>
  <c r="N31" i="9" s="1"/>
  <c r="N31" i="10" s="1"/>
  <c r="I32" i="7"/>
  <c r="I32" i="8" s="1"/>
  <c r="I32" i="9" s="1"/>
  <c r="I32" i="10" s="1"/>
  <c r="I47" i="7"/>
  <c r="I47" i="8" s="1"/>
  <c r="I47" i="9" s="1"/>
  <c r="I47" i="10" s="1"/>
  <c r="J54" i="7"/>
  <c r="J54" i="8" s="1"/>
  <c r="J54" i="9" s="1"/>
  <c r="J54" i="10" s="1"/>
  <c r="E55" i="8"/>
  <c r="E55" i="9" s="1"/>
  <c r="E55" i="10" s="1"/>
  <c r="O33" i="8"/>
  <c r="O33" i="9" s="1"/>
  <c r="O33" i="10" s="1"/>
  <c r="H34" i="7"/>
  <c r="H34" i="8" s="1"/>
  <c r="H34" i="9" s="1"/>
  <c r="H34" i="10" s="1"/>
  <c r="O34" i="7"/>
  <c r="O34" i="8" s="1"/>
  <c r="O34" i="9" s="1"/>
  <c r="O34" i="10" s="1"/>
  <c r="I34" i="7"/>
  <c r="I34" i="8" s="1"/>
  <c r="I34" i="9" s="1"/>
  <c r="I34" i="10" s="1"/>
  <c r="J36" i="7"/>
  <c r="J36" i="8" s="1"/>
  <c r="J36" i="9" s="1"/>
  <c r="J36" i="10" s="1"/>
  <c r="I33" i="8"/>
  <c r="I33" i="9" s="1"/>
  <c r="I33" i="10" s="1"/>
  <c r="K37" i="8"/>
  <c r="K37" i="9" s="1"/>
  <c r="K37" i="10" s="1"/>
  <c r="G47" i="7"/>
  <c r="G47" i="8" s="1"/>
  <c r="G47" i="9" s="1"/>
  <c r="G47" i="10" s="1"/>
  <c r="I54" i="7"/>
  <c r="I54" i="8" s="1"/>
  <c r="I54" i="9" s="1"/>
  <c r="I54" i="10" s="1"/>
  <c r="O55" i="8"/>
  <c r="O55" i="9" s="1"/>
  <c r="O55" i="10" s="1"/>
  <c r="E33" i="8"/>
  <c r="E33" i="9" s="1"/>
  <c r="E33" i="10" s="1"/>
  <c r="M36" i="7"/>
  <c r="M36" i="8" s="1"/>
  <c r="M36" i="9" s="1"/>
  <c r="M36" i="10" s="1"/>
  <c r="K39" i="7"/>
  <c r="K39" i="8" s="1"/>
  <c r="K39" i="9" s="1"/>
  <c r="K39" i="10" s="1"/>
  <c r="E47" i="7"/>
  <c r="E47" i="8" s="1"/>
  <c r="E47" i="9" s="1"/>
  <c r="E47" i="10" s="1"/>
  <c r="M55" i="8"/>
  <c r="M55" i="9" s="1"/>
  <c r="M55" i="10" s="1"/>
  <c r="N40" i="7"/>
  <c r="N40" i="8" s="1"/>
  <c r="N40" i="9" s="1"/>
  <c r="N40" i="10" s="1"/>
  <c r="F40" i="7"/>
  <c r="F40" i="8" s="1"/>
  <c r="F40" i="9" s="1"/>
  <c r="F40" i="10" s="1"/>
  <c r="O37" i="8"/>
  <c r="O37" i="9" s="1"/>
  <c r="O37" i="10" s="1"/>
  <c r="K33" i="8"/>
  <c r="K33" i="9" s="1"/>
  <c r="K33" i="10" s="1"/>
  <c r="K36" i="7"/>
  <c r="K36" i="8" s="1"/>
  <c r="K36" i="9" s="1"/>
  <c r="K36" i="10" s="1"/>
  <c r="I31" i="7"/>
  <c r="I31" i="8" s="1"/>
  <c r="I31" i="9" s="1"/>
  <c r="I31" i="10" s="1"/>
  <c r="H37" i="8"/>
  <c r="H37" i="9" s="1"/>
  <c r="H37" i="10" s="1"/>
  <c r="I39" i="7"/>
  <c r="I39" i="8" s="1"/>
  <c r="I39" i="9" s="1"/>
  <c r="I39" i="10" s="1"/>
  <c r="N36" i="7"/>
  <c r="N36" i="8" s="1"/>
  <c r="N36" i="9" s="1"/>
  <c r="N36" i="10" s="1"/>
  <c r="J33" i="8"/>
  <c r="J33" i="9" s="1"/>
  <c r="J33" i="10" s="1"/>
  <c r="L40" i="7"/>
  <c r="L40" i="8" s="1"/>
  <c r="L40" i="9" s="1"/>
  <c r="L40" i="10" s="1"/>
  <c r="P53" i="7"/>
  <c r="P53" i="8" s="1"/>
  <c r="P53" i="9" s="1"/>
  <c r="P53" i="10" s="1"/>
  <c r="H54" i="7"/>
  <c r="H54" i="8" s="1"/>
  <c r="H54" i="9" s="1"/>
  <c r="H54" i="10" s="1"/>
  <c r="L33" i="8"/>
  <c r="L33" i="9" s="1"/>
  <c r="L33" i="10" s="1"/>
  <c r="M53" i="7"/>
  <c r="M53" i="8" s="1"/>
  <c r="M53" i="9" s="1"/>
  <c r="M53" i="10" s="1"/>
  <c r="O39" i="7"/>
  <c r="O39" i="8" s="1"/>
  <c r="O39" i="9" s="1"/>
  <c r="O39" i="10" s="1"/>
  <c r="L53" i="7"/>
  <c r="L53" i="8" s="1"/>
  <c r="L53" i="9" s="1"/>
  <c r="L53" i="10" s="1"/>
  <c r="L55" i="8"/>
  <c r="L55" i="9" s="1"/>
  <c r="L55" i="10" s="1"/>
  <c r="K38" i="7"/>
  <c r="K38" i="8" s="1"/>
  <c r="K38" i="9" s="1"/>
  <c r="K38" i="10" s="1"/>
  <c r="I37" i="8"/>
  <c r="I37" i="9" s="1"/>
  <c r="I37" i="10" s="1"/>
  <c r="P37" i="7"/>
  <c r="P37" i="8" s="1"/>
  <c r="P37" i="9" s="1"/>
  <c r="P37" i="10" s="1"/>
  <c r="N32" i="7"/>
  <c r="N32" i="8" s="1"/>
  <c r="N32" i="9" s="1"/>
  <c r="N32" i="10" s="1"/>
  <c r="H39" i="7"/>
  <c r="H39" i="8" s="1"/>
  <c r="H39" i="9" s="1"/>
  <c r="H39" i="10" s="1"/>
  <c r="P40" i="7"/>
  <c r="P40" i="8" s="1"/>
  <c r="P40" i="9" s="1"/>
  <c r="P40" i="10" s="1"/>
  <c r="H38" i="7"/>
  <c r="H38" i="8" s="1"/>
  <c r="H38" i="9" s="1"/>
  <c r="H38" i="10" s="1"/>
  <c r="K34" i="7"/>
  <c r="K34" i="8" s="1"/>
  <c r="K34" i="9" s="1"/>
  <c r="K34" i="10" s="1"/>
  <c r="M33" i="8"/>
  <c r="M33" i="9" s="1"/>
  <c r="M33" i="10" s="1"/>
  <c r="O53" i="7"/>
  <c r="O53" i="8" s="1"/>
  <c r="O53" i="9" s="1"/>
  <c r="O53" i="10" s="1"/>
  <c r="G54" i="7"/>
  <c r="G54" i="8" s="1"/>
  <c r="G54" i="9" s="1"/>
  <c r="G54" i="10" s="1"/>
  <c r="J32" i="7"/>
  <c r="J32" i="8" s="1"/>
  <c r="J32" i="9" s="1"/>
  <c r="J32" i="10" s="1"/>
  <c r="L36" i="7"/>
  <c r="L36" i="8" s="1"/>
  <c r="L36" i="9" s="1"/>
  <c r="L36" i="10" s="1"/>
  <c r="G33" i="8"/>
  <c r="G33" i="9" s="1"/>
  <c r="G33" i="10" s="1"/>
  <c r="P54" i="7"/>
  <c r="P54" i="8" s="1"/>
  <c r="P54" i="9" s="1"/>
  <c r="P54" i="10" s="1"/>
  <c r="P33" i="8"/>
  <c r="P33" i="9" s="1"/>
  <c r="P33" i="10" s="1"/>
  <c r="E37" i="7"/>
  <c r="E37" i="8" s="1"/>
  <c r="E37" i="9" s="1"/>
  <c r="E37" i="10" s="1"/>
  <c r="G34" i="7"/>
  <c r="G34" i="8" s="1"/>
  <c r="G34" i="9" s="1"/>
  <c r="G34" i="10" s="1"/>
  <c r="O40" i="7"/>
  <c r="O40" i="8" s="1"/>
  <c r="O40" i="9" s="1"/>
  <c r="O40" i="10" s="1"/>
  <c r="O47" i="7"/>
  <c r="O47" i="8" s="1"/>
  <c r="O47" i="9" s="1"/>
  <c r="O47" i="10" s="1"/>
  <c r="P31" i="7"/>
  <c r="P31" i="8" s="1"/>
  <c r="P31" i="9" s="1"/>
  <c r="P31" i="10" s="1"/>
  <c r="N39" i="7"/>
  <c r="N39" i="8" s="1"/>
  <c r="N39" i="9" s="1"/>
  <c r="N39" i="10" s="1"/>
  <c r="O38" i="7"/>
  <c r="O38" i="8" s="1"/>
  <c r="O38" i="9" s="1"/>
  <c r="O38" i="10" s="1"/>
  <c r="P34" i="7"/>
  <c r="P34" i="8" s="1"/>
  <c r="P34" i="9" s="1"/>
  <c r="P34" i="10" s="1"/>
  <c r="J39" i="7"/>
  <c r="J39" i="8" s="1"/>
  <c r="J39" i="9" s="1"/>
  <c r="J39" i="10" s="1"/>
  <c r="O36" i="7"/>
  <c r="O36" i="8" s="1"/>
  <c r="O36" i="9" s="1"/>
  <c r="O36" i="10" s="1"/>
  <c r="P32" i="7"/>
  <c r="P32" i="8" s="1"/>
  <c r="P32" i="9" s="1"/>
  <c r="P32" i="10" s="1"/>
  <c r="E38" i="7"/>
  <c r="E38" i="8" s="1"/>
  <c r="E38" i="9" s="1"/>
  <c r="E38" i="10" s="1"/>
  <c r="N53" i="7"/>
  <c r="N53" i="8" s="1"/>
  <c r="N53" i="9" s="1"/>
  <c r="N53" i="10" s="1"/>
  <c r="F54" i="7"/>
  <c r="F54" i="8" s="1"/>
  <c r="F54" i="9" s="1"/>
  <c r="F54" i="10" s="1"/>
  <c r="I40" i="7"/>
  <c r="I40" i="8" s="1"/>
  <c r="I40" i="9" s="1"/>
  <c r="I40" i="10" s="1"/>
  <c r="F33" i="8"/>
  <c r="F33" i="9" s="1"/>
  <c r="F33" i="10" s="1"/>
  <c r="E40" i="7"/>
  <c r="E40" i="8" s="1"/>
  <c r="E40" i="9" s="1"/>
  <c r="E40" i="10" s="1"/>
  <c r="I38" i="7"/>
  <c r="I38" i="8" s="1"/>
  <c r="I38" i="9" s="1"/>
  <c r="I38" i="10" s="1"/>
  <c r="M37" i="8"/>
  <c r="M37" i="9" s="1"/>
  <c r="M37" i="10" s="1"/>
  <c r="J38" i="7"/>
  <c r="J38" i="8" s="1"/>
  <c r="J38" i="9" s="1"/>
  <c r="J38" i="10" s="1"/>
  <c r="G58" i="8"/>
  <c r="G58" i="9" s="1"/>
  <c r="G58" i="10" s="1"/>
  <c r="O50" i="7"/>
  <c r="O50" i="8" s="1"/>
  <c r="O50" i="9" s="1"/>
  <c r="O50" i="10" s="1"/>
  <c r="F57" i="7"/>
  <c r="F57" i="8" s="1"/>
  <c r="F57" i="9" s="1"/>
  <c r="F57" i="10" s="1"/>
  <c r="P56" i="7"/>
  <c r="P56" i="8" s="1"/>
  <c r="P56" i="9" s="1"/>
  <c r="P56" i="10" s="1"/>
  <c r="N51" i="7"/>
  <c r="N51" i="8" s="1"/>
  <c r="N51" i="9" s="1"/>
  <c r="N51" i="10" s="1"/>
  <c r="M58" i="8"/>
  <c r="M58" i="9" s="1"/>
  <c r="M58" i="10" s="1"/>
  <c r="G50" i="7"/>
  <c r="G50" i="8" s="1"/>
  <c r="G50" i="9" s="1"/>
  <c r="G50" i="10" s="1"/>
  <c r="O56" i="7"/>
  <c r="O56" i="8" s="1"/>
  <c r="O56" i="9" s="1"/>
  <c r="O56" i="10" s="1"/>
  <c r="F51" i="7"/>
  <c r="F51" i="8" s="1"/>
  <c r="F51" i="9" s="1"/>
  <c r="F51" i="10" s="1"/>
  <c r="M56" i="7"/>
  <c r="M56" i="8" s="1"/>
  <c r="M56" i="9" s="1"/>
  <c r="M56" i="10" s="1"/>
  <c r="N58" i="8"/>
  <c r="N58" i="9" s="1"/>
  <c r="N58" i="10" s="1"/>
  <c r="P58" i="8"/>
  <c r="P58" i="9" s="1"/>
  <c r="P58" i="10" s="1"/>
  <c r="M57" i="7"/>
  <c r="M57" i="8" s="1"/>
  <c r="M57" i="9" s="1"/>
  <c r="M57" i="10" s="1"/>
  <c r="H57" i="7"/>
  <c r="H57" i="8" s="1"/>
  <c r="H57" i="9" s="1"/>
  <c r="H57" i="10" s="1"/>
  <c r="N50" i="7"/>
  <c r="N50" i="8" s="1"/>
  <c r="N50" i="9" s="1"/>
  <c r="N50" i="10" s="1"/>
  <c r="L57" i="7"/>
  <c r="L57" i="8" s="1"/>
  <c r="L57" i="9" s="1"/>
  <c r="L57" i="10" s="1"/>
  <c r="O51" i="7"/>
  <c r="O51" i="8" s="1"/>
  <c r="O51" i="9" s="1"/>
  <c r="O51" i="10" s="1"/>
  <c r="I51" i="7"/>
  <c r="I51" i="8" s="1"/>
  <c r="I51" i="9" s="1"/>
  <c r="I51" i="10" s="1"/>
  <c r="N56" i="7"/>
  <c r="N56" i="8" s="1"/>
  <c r="N56" i="9" s="1"/>
  <c r="N56" i="10" s="1"/>
  <c r="E57" i="7"/>
  <c r="E57" i="8" s="1"/>
  <c r="E57" i="9" s="1"/>
  <c r="E57" i="10" s="1"/>
  <c r="L56" i="7"/>
  <c r="L56" i="8" s="1"/>
  <c r="L56" i="9" s="1"/>
  <c r="L56" i="10" s="1"/>
  <c r="J51" i="7"/>
  <c r="J51" i="8" s="1"/>
  <c r="J51" i="9" s="1"/>
  <c r="J51" i="10" s="1"/>
  <c r="J56" i="7"/>
  <c r="J56" i="8" s="1"/>
  <c r="J56" i="9" s="1"/>
  <c r="J56" i="10" s="1"/>
  <c r="I56" i="7"/>
  <c r="I56" i="8" s="1"/>
  <c r="I56" i="9" s="1"/>
  <c r="I56" i="10" s="1"/>
  <c r="G57" i="7"/>
  <c r="G57" i="8" s="1"/>
  <c r="G57" i="9" s="1"/>
  <c r="G57" i="10" s="1"/>
  <c r="F50" i="7"/>
  <c r="F50" i="8" s="1"/>
  <c r="F50" i="9" s="1"/>
  <c r="F50" i="10" s="1"/>
  <c r="L58" i="8"/>
  <c r="L58" i="9" s="1"/>
  <c r="L58" i="10" s="1"/>
  <c r="E51" i="7"/>
  <c r="E51" i="8" s="1"/>
  <c r="E51" i="9" s="1"/>
  <c r="E51" i="10" s="1"/>
  <c r="E50" i="7"/>
  <c r="E50" i="8" s="1"/>
  <c r="E50" i="9" s="1"/>
  <c r="E50" i="10" s="1"/>
  <c r="P50" i="7"/>
  <c r="P50" i="8" s="1"/>
  <c r="P50" i="9" s="1"/>
  <c r="P50" i="10" s="1"/>
  <c r="H51" i="7"/>
  <c r="H51" i="8" s="1"/>
  <c r="H51" i="9" s="1"/>
  <c r="H51" i="10" s="1"/>
  <c r="K51" i="7"/>
  <c r="K51" i="8" s="1"/>
  <c r="K51" i="9" s="1"/>
  <c r="K51" i="10" s="1"/>
  <c r="P57" i="7"/>
  <c r="P57" i="8" s="1"/>
  <c r="P57" i="9" s="1"/>
  <c r="P57" i="10" s="1"/>
  <c r="H58" i="8"/>
  <c r="H58" i="9" s="1"/>
  <c r="H58" i="10" s="1"/>
  <c r="K58" i="8"/>
  <c r="K58" i="9" s="1"/>
  <c r="K58" i="10" s="1"/>
  <c r="O58" i="8"/>
  <c r="O58" i="9" s="1"/>
  <c r="O58" i="10" s="1"/>
  <c r="H50" i="7"/>
  <c r="H50" i="8" s="1"/>
  <c r="H50" i="9" s="1"/>
  <c r="H50" i="10" s="1"/>
  <c r="J50" i="7"/>
  <c r="J50" i="8" s="1"/>
  <c r="J50" i="9" s="1"/>
  <c r="J50" i="10" s="1"/>
  <c r="L50" i="7"/>
  <c r="L50" i="8" s="1"/>
  <c r="L50" i="9" s="1"/>
  <c r="L50" i="10" s="1"/>
  <c r="J58" i="8"/>
  <c r="J58" i="9" s="1"/>
  <c r="J58" i="10" s="1"/>
  <c r="P51" i="7"/>
  <c r="P51" i="8" s="1"/>
  <c r="P51" i="9" s="1"/>
  <c r="P51" i="10" s="1"/>
  <c r="E58" i="8"/>
  <c r="E58" i="9" s="1"/>
  <c r="E58" i="10" s="1"/>
  <c r="J57" i="7"/>
  <c r="J57" i="8" s="1"/>
  <c r="J57" i="9" s="1"/>
  <c r="J57" i="10" s="1"/>
  <c r="K56" i="7"/>
  <c r="K56" i="8" s="1"/>
  <c r="K56" i="9" s="1"/>
  <c r="K56" i="10" s="1"/>
  <c r="M50" i="7"/>
  <c r="M50" i="8" s="1"/>
  <c r="M50" i="9" s="1"/>
  <c r="M50" i="10" s="1"/>
  <c r="I57" i="7"/>
  <c r="I57" i="8" s="1"/>
  <c r="I57" i="9" s="1"/>
  <c r="I57" i="10" s="1"/>
  <c r="L51" i="7"/>
  <c r="L51" i="8" s="1"/>
  <c r="L51" i="9" s="1"/>
  <c r="L51" i="10" s="1"/>
  <c r="K57" i="7"/>
  <c r="K57" i="8" s="1"/>
  <c r="K57" i="9" s="1"/>
  <c r="K57" i="10" s="1"/>
  <c r="I50" i="7"/>
  <c r="I50" i="8" s="1"/>
  <c r="I50" i="9" s="1"/>
  <c r="I50" i="10" s="1"/>
  <c r="F56" i="7"/>
  <c r="F56" i="8" s="1"/>
  <c r="F56" i="9" s="1"/>
  <c r="F56" i="10" s="1"/>
  <c r="N57" i="7"/>
  <c r="N57" i="8" s="1"/>
  <c r="N57" i="9" s="1"/>
  <c r="N57" i="10" s="1"/>
  <c r="I58" i="8"/>
  <c r="I58" i="9" s="1"/>
  <c r="I58" i="10" s="1"/>
  <c r="G56" i="7"/>
  <c r="G56" i="8" s="1"/>
  <c r="G56" i="9" s="1"/>
  <c r="G56" i="10" s="1"/>
  <c r="E56" i="7"/>
  <c r="E56" i="8" s="1"/>
  <c r="E56" i="9" s="1"/>
  <c r="E56" i="10" s="1"/>
  <c r="F58" i="8"/>
  <c r="F58" i="9" s="1"/>
  <c r="F58" i="10" s="1"/>
  <c r="M51" i="7"/>
  <c r="M51" i="8" s="1"/>
  <c r="M51" i="9" s="1"/>
  <c r="M51" i="10" s="1"/>
  <c r="H56" i="7"/>
  <c r="H56" i="8" s="1"/>
  <c r="H56" i="9" s="1"/>
  <c r="H56" i="10" s="1"/>
  <c r="K50" i="7"/>
  <c r="K50" i="8" s="1"/>
  <c r="K50" i="9" s="1"/>
  <c r="K50" i="10" s="1"/>
  <c r="O57" i="7"/>
  <c r="O57" i="8" s="1"/>
  <c r="O57" i="9" s="1"/>
  <c r="O57" i="10" s="1"/>
  <c r="G51" i="7"/>
  <c r="G51" i="8" s="1"/>
  <c r="G51" i="9" s="1"/>
  <c r="G51" i="10" s="1"/>
  <c r="M112" i="7"/>
  <c r="M112" i="8" s="1"/>
  <c r="M112" i="9" s="1"/>
  <c r="M112" i="10" s="1"/>
  <c r="P112" i="7"/>
  <c r="P112" i="8" s="1"/>
  <c r="P112" i="9" s="1"/>
  <c r="P112" i="10" s="1"/>
  <c r="F112" i="7"/>
  <c r="F112" i="8" s="1"/>
  <c r="F112" i="9" s="1"/>
  <c r="F112" i="10" s="1"/>
  <c r="O112" i="7"/>
  <c r="O112" i="8" s="1"/>
  <c r="O112" i="9" s="1"/>
  <c r="O112" i="10" s="1"/>
  <c r="L112" i="7"/>
  <c r="L112" i="8" s="1"/>
  <c r="L112" i="9" s="1"/>
  <c r="L112" i="10" s="1"/>
  <c r="K112" i="7"/>
  <c r="K112" i="8" s="1"/>
  <c r="K112" i="9" s="1"/>
  <c r="K112" i="10" s="1"/>
  <c r="E112" i="7"/>
  <c r="E112" i="8" s="1"/>
  <c r="E112" i="9" s="1"/>
  <c r="E112" i="10" s="1"/>
  <c r="J112" i="7"/>
  <c r="J112" i="8" s="1"/>
  <c r="J112" i="9" s="1"/>
  <c r="J112" i="10" s="1"/>
  <c r="H112" i="7"/>
  <c r="H112" i="8" s="1"/>
  <c r="H112" i="9" s="1"/>
  <c r="H112" i="10" s="1"/>
  <c r="I112" i="7"/>
  <c r="I112" i="8" s="1"/>
  <c r="I112" i="9" s="1"/>
  <c r="I112" i="10" s="1"/>
  <c r="G112" i="7"/>
  <c r="G112" i="8" s="1"/>
  <c r="G112" i="9" s="1"/>
  <c r="G112" i="10" s="1"/>
  <c r="N112" i="7"/>
  <c r="N112" i="8" s="1"/>
  <c r="N112" i="9" s="1"/>
  <c r="N112" i="10" s="1"/>
  <c r="E150" i="6"/>
  <c r="E147" i="6"/>
  <c r="E146" i="6"/>
  <c r="E144" i="6"/>
  <c r="E143" i="6"/>
  <c r="E141" i="6"/>
  <c r="E140" i="6"/>
  <c r="E138" i="6"/>
  <c r="E137" i="6"/>
  <c r="E136" i="6"/>
  <c r="E135" i="6"/>
  <c r="A1" i="6"/>
  <c r="E139" i="5"/>
  <c r="Q113" i="5"/>
  <c r="Q109" i="5"/>
  <c r="Q106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F4" i="5"/>
  <c r="G4" i="5" s="1"/>
  <c r="H4" i="5" s="1"/>
  <c r="I4" i="5" s="1"/>
  <c r="J4" i="5" s="1"/>
  <c r="K4" i="5" s="1"/>
  <c r="L4" i="5" s="1"/>
  <c r="M4" i="5" s="1"/>
  <c r="N4" i="5" s="1"/>
  <c r="O4" i="5" s="1"/>
  <c r="P4" i="5" s="1"/>
  <c r="A1" i="5"/>
  <c r="Q94" i="5" l="1"/>
  <c r="P22" i="5"/>
  <c r="H22" i="5"/>
  <c r="J22" i="5"/>
  <c r="L22" i="5"/>
  <c r="N22" i="5"/>
  <c r="K22" i="5"/>
  <c r="Q22" i="5"/>
  <c r="I22" i="5"/>
  <c r="O22" i="5"/>
  <c r="G22" i="5"/>
  <c r="F22" i="5"/>
  <c r="M22" i="5"/>
  <c r="E22" i="5"/>
  <c r="N17" i="5"/>
  <c r="M17" i="5"/>
  <c r="E17" i="5"/>
  <c r="Q17" i="5"/>
  <c r="H17" i="5"/>
  <c r="G17" i="5"/>
  <c r="K17" i="5"/>
  <c r="S24" i="5"/>
  <c r="S25" i="5" s="1"/>
  <c r="Q41" i="5"/>
  <c r="Q62" i="5"/>
  <c r="Q80" i="5"/>
  <c r="S19" i="5"/>
  <c r="Q103" i="5"/>
  <c r="S15" i="5"/>
  <c r="Q74" i="5"/>
  <c r="G418" i="4"/>
  <c r="U98" i="17"/>
  <c r="O96" i="17"/>
  <c r="O88" i="17"/>
  <c r="F84" i="17"/>
  <c r="G72" i="18" s="1"/>
  <c r="F72" i="18" s="1"/>
  <c r="V76" i="17"/>
  <c r="G140" i="4"/>
  <c r="G125" i="4"/>
  <c r="G118" i="4"/>
  <c r="U70" i="17"/>
  <c r="G81" i="4"/>
  <c r="G55" i="4"/>
  <c r="G34" i="4"/>
  <c r="G28" i="4"/>
  <c r="O64" i="17"/>
  <c r="G284" i="18" s="1"/>
  <c r="F284" i="18" s="1"/>
  <c r="P101" i="1" l="1"/>
  <c r="M78" i="7"/>
  <c r="M78" i="8" s="1"/>
  <c r="M78" i="9" s="1"/>
  <c r="M78" i="10" s="1"/>
  <c r="O78" i="7"/>
  <c r="O78" i="8" s="1"/>
  <c r="O78" i="9" s="1"/>
  <c r="O78" i="10" s="1"/>
  <c r="L78" i="7"/>
  <c r="L78" i="8" s="1"/>
  <c r="L78" i="9" s="1"/>
  <c r="L78" i="10" s="1"/>
  <c r="N78" i="7"/>
  <c r="N78" i="8" s="1"/>
  <c r="N78" i="9" s="1"/>
  <c r="N78" i="10" s="1"/>
  <c r="K78" i="7"/>
  <c r="K78" i="8" s="1"/>
  <c r="K78" i="9" s="1"/>
  <c r="K78" i="10" s="1"/>
  <c r="J78" i="7"/>
  <c r="J78" i="8" s="1"/>
  <c r="J78" i="9" s="1"/>
  <c r="J78" i="10" s="1"/>
  <c r="I78" i="7"/>
  <c r="I78" i="8" s="1"/>
  <c r="I78" i="9" s="1"/>
  <c r="I78" i="10" s="1"/>
  <c r="H78" i="7"/>
  <c r="H78" i="8" s="1"/>
  <c r="H78" i="9" s="1"/>
  <c r="H78" i="10" s="1"/>
  <c r="G78" i="7"/>
  <c r="G78" i="8" s="1"/>
  <c r="G78" i="9" s="1"/>
  <c r="G78" i="10" s="1"/>
  <c r="E78" i="7"/>
  <c r="E78" i="8" s="1"/>
  <c r="E78" i="9" s="1"/>
  <c r="E78" i="10" s="1"/>
  <c r="F78" i="7"/>
  <c r="F78" i="8" s="1"/>
  <c r="F78" i="9" s="1"/>
  <c r="F78" i="10" s="1"/>
  <c r="AB99" i="17"/>
  <c r="AB103" i="17" s="1"/>
  <c r="AB92" i="17"/>
  <c r="U103" i="17"/>
  <c r="O103" i="17"/>
  <c r="T80" i="17"/>
  <c r="T115" i="17" s="1"/>
  <c r="T117" i="17" s="1"/>
  <c r="U74" i="17"/>
  <c r="O74" i="17"/>
  <c r="E93" i="17"/>
  <c r="E92" i="17"/>
  <c r="E105" i="17"/>
  <c r="E85" i="17"/>
  <c r="AP85" i="17" s="1"/>
  <c r="E98" i="17"/>
  <c r="E69" i="17"/>
  <c r="AP69" i="17" s="1"/>
  <c r="E84" i="17"/>
  <c r="E83" i="17"/>
  <c r="E88" i="17"/>
  <c r="E100" i="17"/>
  <c r="E111" i="17"/>
  <c r="AP68" i="17"/>
  <c r="S22" i="5"/>
  <c r="Q115" i="5"/>
  <c r="A1" i="4"/>
  <c r="A3" i="4"/>
  <c r="X81" i="4" l="1"/>
  <c r="E69" i="7"/>
  <c r="E69" i="8" s="1"/>
  <c r="E69" i="9" s="1"/>
  <c r="E69" i="10" s="1"/>
  <c r="F69" i="7"/>
  <c r="F69" i="8" s="1"/>
  <c r="F69" i="9" s="1"/>
  <c r="F69" i="10" s="1"/>
  <c r="G69" i="7"/>
  <c r="G69" i="8" s="1"/>
  <c r="G69" i="9" s="1"/>
  <c r="G69" i="10" s="1"/>
  <c r="J69" i="7"/>
  <c r="J69" i="8" s="1"/>
  <c r="J69" i="9" s="1"/>
  <c r="J69" i="10" s="1"/>
  <c r="K69" i="7"/>
  <c r="K69" i="8" s="1"/>
  <c r="K69" i="9" s="1"/>
  <c r="K69" i="10" s="1"/>
  <c r="N69" i="7"/>
  <c r="N69" i="8" s="1"/>
  <c r="N69" i="9" s="1"/>
  <c r="N69" i="10" s="1"/>
  <c r="L69" i="7"/>
  <c r="L69" i="8" s="1"/>
  <c r="L69" i="9" s="1"/>
  <c r="L69" i="10" s="1"/>
  <c r="O69" i="7"/>
  <c r="O69" i="8" s="1"/>
  <c r="O69" i="9" s="1"/>
  <c r="O69" i="10" s="1"/>
  <c r="P78" i="7"/>
  <c r="P78" i="8" s="1"/>
  <c r="P78" i="9" s="1"/>
  <c r="P78" i="10" s="1"/>
  <c r="Z193" i="4"/>
  <c r="O83" i="7"/>
  <c r="O83" i="8" s="1"/>
  <c r="O83" i="9" s="1"/>
  <c r="O83" i="10" s="1"/>
  <c r="N83" i="7"/>
  <c r="N83" i="8" s="1"/>
  <c r="N83" i="9" s="1"/>
  <c r="N83" i="10" s="1"/>
  <c r="M83" i="7"/>
  <c r="M83" i="8" s="1"/>
  <c r="M83" i="9" s="1"/>
  <c r="M83" i="10" s="1"/>
  <c r="E83" i="7"/>
  <c r="E83" i="8" s="1"/>
  <c r="E83" i="9" s="1"/>
  <c r="E83" i="10" s="1"/>
  <c r="F83" i="7"/>
  <c r="F83" i="8" s="1"/>
  <c r="F83" i="9" s="1"/>
  <c r="F83" i="10" s="1"/>
  <c r="L83" i="7"/>
  <c r="L83" i="8" s="1"/>
  <c r="L83" i="9" s="1"/>
  <c r="L83" i="10" s="1"/>
  <c r="K83" i="7"/>
  <c r="K83" i="8" s="1"/>
  <c r="K83" i="9" s="1"/>
  <c r="K83" i="10" s="1"/>
  <c r="J83" i="7"/>
  <c r="J83" i="8" s="1"/>
  <c r="J83" i="9" s="1"/>
  <c r="J83" i="10" s="1"/>
  <c r="I83" i="7"/>
  <c r="I83" i="8" s="1"/>
  <c r="I83" i="9" s="1"/>
  <c r="I83" i="10" s="1"/>
  <c r="H83" i="7"/>
  <c r="H83" i="8" s="1"/>
  <c r="H83" i="9" s="1"/>
  <c r="H83" i="10" s="1"/>
  <c r="G83" i="7"/>
  <c r="G83" i="8" s="1"/>
  <c r="G83" i="9" s="1"/>
  <c r="G83" i="10" s="1"/>
  <c r="Z199" i="4"/>
  <c r="G84" i="7"/>
  <c r="G84" i="8" s="1"/>
  <c r="G84" i="9" s="1"/>
  <c r="G84" i="10" s="1"/>
  <c r="O84" i="7"/>
  <c r="O84" i="8" s="1"/>
  <c r="O84" i="9" s="1"/>
  <c r="O84" i="10" s="1"/>
  <c r="E84" i="7"/>
  <c r="E84" i="8" s="1"/>
  <c r="E84" i="9" s="1"/>
  <c r="E84" i="10" s="1"/>
  <c r="N84" i="7"/>
  <c r="N84" i="8" s="1"/>
  <c r="N84" i="9" s="1"/>
  <c r="N84" i="10" s="1"/>
  <c r="M84" i="7"/>
  <c r="M84" i="8" s="1"/>
  <c r="M84" i="9" s="1"/>
  <c r="M84" i="10" s="1"/>
  <c r="L84" i="7"/>
  <c r="L84" i="8" s="1"/>
  <c r="L84" i="9" s="1"/>
  <c r="L84" i="10" s="1"/>
  <c r="K84" i="7"/>
  <c r="K84" i="8" s="1"/>
  <c r="K84" i="9" s="1"/>
  <c r="K84" i="10" s="1"/>
  <c r="F84" i="7"/>
  <c r="F84" i="8" s="1"/>
  <c r="F84" i="9" s="1"/>
  <c r="F84" i="10" s="1"/>
  <c r="J84" i="7"/>
  <c r="J84" i="8" s="1"/>
  <c r="J84" i="9" s="1"/>
  <c r="J84" i="10" s="1"/>
  <c r="I84" i="7"/>
  <c r="I84" i="8" s="1"/>
  <c r="I84" i="9" s="1"/>
  <c r="I84" i="10" s="1"/>
  <c r="H84" i="7"/>
  <c r="H84" i="8" s="1"/>
  <c r="H84" i="9" s="1"/>
  <c r="H84" i="10" s="1"/>
  <c r="H69" i="7"/>
  <c r="H69" i="8" s="1"/>
  <c r="H69" i="9" s="1"/>
  <c r="H69" i="10" s="1"/>
  <c r="I69" i="7"/>
  <c r="I69" i="8" s="1"/>
  <c r="I69" i="9" s="1"/>
  <c r="I69" i="10" s="1"/>
  <c r="Z418" i="4"/>
  <c r="F111" i="7"/>
  <c r="F111" i="8" s="1"/>
  <c r="F111" i="9" s="1"/>
  <c r="F111" i="10" s="1"/>
  <c r="O111" i="7"/>
  <c r="O111" i="8" s="1"/>
  <c r="O111" i="9" s="1"/>
  <c r="O111" i="10" s="1"/>
  <c r="N111" i="7"/>
  <c r="N111" i="8" s="1"/>
  <c r="N111" i="9" s="1"/>
  <c r="N111" i="10" s="1"/>
  <c r="M111" i="7"/>
  <c r="M111" i="8" s="1"/>
  <c r="M111" i="9" s="1"/>
  <c r="M111" i="10" s="1"/>
  <c r="L111" i="7"/>
  <c r="L111" i="8" s="1"/>
  <c r="L111" i="9" s="1"/>
  <c r="L111" i="10" s="1"/>
  <c r="K111" i="7"/>
  <c r="K111" i="8" s="1"/>
  <c r="K111" i="9" s="1"/>
  <c r="K111" i="10" s="1"/>
  <c r="G111" i="7"/>
  <c r="G111" i="8" s="1"/>
  <c r="G111" i="9" s="1"/>
  <c r="G111" i="10" s="1"/>
  <c r="J111" i="7"/>
  <c r="J111" i="8" s="1"/>
  <c r="J111" i="9" s="1"/>
  <c r="J111" i="10" s="1"/>
  <c r="H111" i="7"/>
  <c r="H111" i="8" s="1"/>
  <c r="H111" i="9" s="1"/>
  <c r="H111" i="10" s="1"/>
  <c r="I111" i="7"/>
  <c r="I111" i="8" s="1"/>
  <c r="I111" i="9" s="1"/>
  <c r="I111" i="10" s="1"/>
  <c r="Z205" i="4"/>
  <c r="F85" i="7"/>
  <c r="F85" i="8" s="1"/>
  <c r="F85" i="9" s="1"/>
  <c r="F85" i="10" s="1"/>
  <c r="E85" i="7"/>
  <c r="E85" i="8" s="1"/>
  <c r="E85" i="9" s="1"/>
  <c r="E85" i="10" s="1"/>
  <c r="G85" i="7"/>
  <c r="G85" i="8" s="1"/>
  <c r="G85" i="9" s="1"/>
  <c r="G85" i="10" s="1"/>
  <c r="O85" i="7"/>
  <c r="O85" i="8" s="1"/>
  <c r="O85" i="9" s="1"/>
  <c r="O85" i="10" s="1"/>
  <c r="N85" i="7"/>
  <c r="N85" i="8" s="1"/>
  <c r="N85" i="9" s="1"/>
  <c r="N85" i="10" s="1"/>
  <c r="M85" i="7"/>
  <c r="M85" i="8" s="1"/>
  <c r="M85" i="9" s="1"/>
  <c r="M85" i="10" s="1"/>
  <c r="L85" i="7"/>
  <c r="L85" i="8" s="1"/>
  <c r="L85" i="9" s="1"/>
  <c r="L85" i="10" s="1"/>
  <c r="K85" i="7"/>
  <c r="K85" i="8" s="1"/>
  <c r="K85" i="9" s="1"/>
  <c r="K85" i="10" s="1"/>
  <c r="J85" i="7"/>
  <c r="J85" i="8" s="1"/>
  <c r="J85" i="9" s="1"/>
  <c r="J85" i="10" s="1"/>
  <c r="H85" i="7"/>
  <c r="H85" i="8" s="1"/>
  <c r="H85" i="9" s="1"/>
  <c r="H85" i="10" s="1"/>
  <c r="I85" i="7"/>
  <c r="I85" i="8" s="1"/>
  <c r="I85" i="9" s="1"/>
  <c r="I85" i="10" s="1"/>
  <c r="Z241" i="4"/>
  <c r="I88" i="7"/>
  <c r="I88" i="8" s="1"/>
  <c r="I88" i="9" s="1"/>
  <c r="I88" i="10" s="1"/>
  <c r="J88" i="7"/>
  <c r="J88" i="8" s="1"/>
  <c r="J88" i="9" s="1"/>
  <c r="J88" i="10" s="1"/>
  <c r="H88" i="7"/>
  <c r="H88" i="8" s="1"/>
  <c r="H88" i="9" s="1"/>
  <c r="H88" i="10" s="1"/>
  <c r="E88" i="7"/>
  <c r="E88" i="8" s="1"/>
  <c r="E88" i="9" s="1"/>
  <c r="E88" i="10" s="1"/>
  <c r="G88" i="7"/>
  <c r="G88" i="8" s="1"/>
  <c r="G88" i="9" s="1"/>
  <c r="G88" i="10" s="1"/>
  <c r="F88" i="7"/>
  <c r="F88" i="8" s="1"/>
  <c r="F88" i="9" s="1"/>
  <c r="F88" i="10" s="1"/>
  <c r="K88" i="7"/>
  <c r="K88" i="8" s="1"/>
  <c r="K88" i="9" s="1"/>
  <c r="K88" i="10" s="1"/>
  <c r="O88" i="7"/>
  <c r="O88" i="8" s="1"/>
  <c r="O88" i="9" s="1"/>
  <c r="O88" i="10" s="1"/>
  <c r="N88" i="7"/>
  <c r="N88" i="8" s="1"/>
  <c r="N88" i="9" s="1"/>
  <c r="N88" i="10" s="1"/>
  <c r="M88" i="7"/>
  <c r="M88" i="8" s="1"/>
  <c r="M88" i="9" s="1"/>
  <c r="M88" i="10" s="1"/>
  <c r="L88" i="7"/>
  <c r="L88" i="8" s="1"/>
  <c r="L88" i="9" s="1"/>
  <c r="L88" i="10" s="1"/>
  <c r="Z388" i="4"/>
  <c r="G105" i="7"/>
  <c r="G105" i="8" s="1"/>
  <c r="G105" i="9" s="1"/>
  <c r="G105" i="10" s="1"/>
  <c r="E105" i="7"/>
  <c r="E105" i="8" s="1"/>
  <c r="E105" i="9" s="1"/>
  <c r="E105" i="10" s="1"/>
  <c r="O105" i="7"/>
  <c r="O105" i="8" s="1"/>
  <c r="O105" i="9" s="1"/>
  <c r="O105" i="10" s="1"/>
  <c r="N105" i="7"/>
  <c r="N105" i="8" s="1"/>
  <c r="N105" i="9" s="1"/>
  <c r="N105" i="10" s="1"/>
  <c r="I105" i="7"/>
  <c r="I105" i="8" s="1"/>
  <c r="I105" i="9" s="1"/>
  <c r="I105" i="10" s="1"/>
  <c r="H105" i="7"/>
  <c r="H105" i="8" s="1"/>
  <c r="H105" i="9" s="1"/>
  <c r="H105" i="10" s="1"/>
  <c r="M105" i="7"/>
  <c r="M105" i="8" s="1"/>
  <c r="M105" i="9" s="1"/>
  <c r="M105" i="10" s="1"/>
  <c r="L105" i="7"/>
  <c r="L105" i="8" s="1"/>
  <c r="L105" i="9" s="1"/>
  <c r="L105" i="10" s="1"/>
  <c r="K105" i="7"/>
  <c r="K105" i="8" s="1"/>
  <c r="K105" i="9" s="1"/>
  <c r="K105" i="10" s="1"/>
  <c r="J105" i="7"/>
  <c r="J105" i="8" s="1"/>
  <c r="J105" i="9" s="1"/>
  <c r="J105" i="10" s="1"/>
  <c r="Z332" i="4"/>
  <c r="O98" i="7"/>
  <c r="O98" i="8" s="1"/>
  <c r="O98" i="9" s="1"/>
  <c r="O98" i="10" s="1"/>
  <c r="N98" i="7"/>
  <c r="N98" i="8" s="1"/>
  <c r="N98" i="9" s="1"/>
  <c r="N98" i="10" s="1"/>
  <c r="M98" i="7"/>
  <c r="M98" i="8" s="1"/>
  <c r="M98" i="9" s="1"/>
  <c r="M98" i="10" s="1"/>
  <c r="E98" i="7"/>
  <c r="E98" i="8" s="1"/>
  <c r="E98" i="9" s="1"/>
  <c r="E98" i="10" s="1"/>
  <c r="L98" i="7"/>
  <c r="L98" i="8" s="1"/>
  <c r="L98" i="9" s="1"/>
  <c r="L98" i="10" s="1"/>
  <c r="K98" i="7"/>
  <c r="K98" i="8" s="1"/>
  <c r="K98" i="9" s="1"/>
  <c r="K98" i="10" s="1"/>
  <c r="J98" i="7"/>
  <c r="J98" i="8" s="1"/>
  <c r="J98" i="9" s="1"/>
  <c r="J98" i="10" s="1"/>
  <c r="I98" i="7"/>
  <c r="I98" i="8" s="1"/>
  <c r="I98" i="9" s="1"/>
  <c r="I98" i="10" s="1"/>
  <c r="H98" i="7"/>
  <c r="H98" i="8" s="1"/>
  <c r="H98" i="9" s="1"/>
  <c r="H98" i="10" s="1"/>
  <c r="G98" i="7"/>
  <c r="G98" i="8" s="1"/>
  <c r="G98" i="9" s="1"/>
  <c r="G98" i="10" s="1"/>
  <c r="F98" i="7"/>
  <c r="F98" i="8" s="1"/>
  <c r="F98" i="9" s="1"/>
  <c r="F98" i="10" s="1"/>
  <c r="Z304" i="4"/>
  <c r="M93" i="7"/>
  <c r="M93" i="8" s="1"/>
  <c r="M93" i="9" s="1"/>
  <c r="M93" i="10" s="1"/>
  <c r="L93" i="7"/>
  <c r="L93" i="8" s="1"/>
  <c r="L93" i="9" s="1"/>
  <c r="L93" i="10" s="1"/>
  <c r="N93" i="7"/>
  <c r="N93" i="8" s="1"/>
  <c r="N93" i="9" s="1"/>
  <c r="N93" i="10" s="1"/>
  <c r="K93" i="7"/>
  <c r="K93" i="8" s="1"/>
  <c r="K93" i="9" s="1"/>
  <c r="K93" i="10" s="1"/>
  <c r="J93" i="7"/>
  <c r="J93" i="8" s="1"/>
  <c r="J93" i="9" s="1"/>
  <c r="J93" i="10" s="1"/>
  <c r="I93" i="7"/>
  <c r="I93" i="8" s="1"/>
  <c r="I93" i="9" s="1"/>
  <c r="I93" i="10" s="1"/>
  <c r="H93" i="7"/>
  <c r="H93" i="8" s="1"/>
  <c r="H93" i="9" s="1"/>
  <c r="H93" i="10" s="1"/>
  <c r="G93" i="7"/>
  <c r="G93" i="8" s="1"/>
  <c r="G93" i="9" s="1"/>
  <c r="G93" i="10" s="1"/>
  <c r="E93" i="7"/>
  <c r="E93" i="8" s="1"/>
  <c r="E93" i="9" s="1"/>
  <c r="E93" i="10" s="1"/>
  <c r="O93" i="7"/>
  <c r="O93" i="8" s="1"/>
  <c r="O93" i="9" s="1"/>
  <c r="O93" i="10" s="1"/>
  <c r="F93" i="7"/>
  <c r="F93" i="8" s="1"/>
  <c r="F93" i="9" s="1"/>
  <c r="F93" i="10" s="1"/>
  <c r="E106" i="17"/>
  <c r="AP98" i="17"/>
  <c r="AP93" i="17"/>
  <c r="AP88" i="17"/>
  <c r="AP84" i="17"/>
  <c r="AP83" i="17"/>
  <c r="AP105" i="17"/>
  <c r="AP106" i="17" s="1"/>
  <c r="E113" i="17"/>
  <c r="AP111" i="17"/>
  <c r="AP113" i="17" s="1"/>
  <c r="Z81" i="4"/>
  <c r="U69" i="1" l="1"/>
  <c r="M69" i="7"/>
  <c r="M69" i="8" s="1"/>
  <c r="M69" i="9" s="1"/>
  <c r="M69" i="10" s="1"/>
  <c r="F105" i="7"/>
  <c r="F105" i="8" s="1"/>
  <c r="F105" i="9" s="1"/>
  <c r="F105" i="10" s="1"/>
  <c r="P84" i="7"/>
  <c r="P84" i="8" s="1"/>
  <c r="P84" i="9" s="1"/>
  <c r="P84" i="10" s="1"/>
  <c r="P98" i="7"/>
  <c r="P98" i="8" s="1"/>
  <c r="P98" i="9" s="1"/>
  <c r="P98" i="10" s="1"/>
  <c r="P111" i="7"/>
  <c r="P111" i="8" s="1"/>
  <c r="P111" i="9" s="1"/>
  <c r="P111" i="10" s="1"/>
  <c r="P88" i="7"/>
  <c r="P88" i="8" s="1"/>
  <c r="P88" i="9" s="1"/>
  <c r="P88" i="10" s="1"/>
  <c r="P69" i="7"/>
  <c r="P69" i="8" s="1"/>
  <c r="P69" i="9" s="1"/>
  <c r="P69" i="10" s="1"/>
  <c r="P85" i="7"/>
  <c r="P85" i="8" s="1"/>
  <c r="P85" i="9" s="1"/>
  <c r="P85" i="10" s="1"/>
  <c r="P105" i="7"/>
  <c r="P105" i="8" s="1"/>
  <c r="P105" i="9" s="1"/>
  <c r="P105" i="10" s="1"/>
  <c r="P83" i="7"/>
  <c r="P83" i="8" s="1"/>
  <c r="P83" i="9" s="1"/>
  <c r="P83" i="10" s="1"/>
  <c r="P93" i="7"/>
  <c r="P93" i="8" s="1"/>
  <c r="P93" i="9" s="1"/>
  <c r="P93" i="10" s="1"/>
  <c r="E111" i="7"/>
  <c r="E111" i="8" s="1"/>
  <c r="E111" i="9" s="1"/>
  <c r="E111" i="10" s="1"/>
  <c r="P106" i="1"/>
  <c r="S24" i="1"/>
  <c r="S25" i="1" s="1"/>
  <c r="E15" i="17"/>
  <c r="G11" i="18" s="1"/>
  <c r="F11" i="18" s="1"/>
  <c r="E24" i="17" l="1"/>
  <c r="G9" i="18" s="1"/>
  <c r="F9" i="18" s="1"/>
  <c r="X24" i="1"/>
  <c r="X25" i="1" s="1"/>
  <c r="X93" i="1"/>
  <c r="E113" i="7"/>
  <c r="AD24" i="1"/>
  <c r="AD25" i="1" s="1"/>
  <c r="J17" i="11"/>
  <c r="K17" i="11" s="1"/>
  <c r="AD15" i="1"/>
  <c r="K41" i="5"/>
  <c r="L41" i="5"/>
  <c r="E41" i="5"/>
  <c r="M41" i="5"/>
  <c r="F41" i="5"/>
  <c r="N41" i="5"/>
  <c r="G41" i="5"/>
  <c r="O41" i="5"/>
  <c r="H41" i="5"/>
  <c r="P41" i="5"/>
  <c r="I41" i="5"/>
  <c r="J41" i="5"/>
  <c r="S31" i="5"/>
  <c r="U15" i="7"/>
  <c r="U24" i="7"/>
  <c r="U25" i="7" s="1"/>
  <c r="S37" i="1"/>
  <c r="S40" i="1"/>
  <c r="S38" i="1"/>
  <c r="X38" i="1" s="1"/>
  <c r="S39" i="1"/>
  <c r="S36" i="1"/>
  <c r="S35" i="1"/>
  <c r="X35" i="1" s="1"/>
  <c r="S34" i="1"/>
  <c r="S33" i="1"/>
  <c r="S32" i="1"/>
  <c r="S31" i="1"/>
  <c r="X31" i="1" s="1"/>
  <c r="X36" i="1" l="1"/>
  <c r="N36" i="17"/>
  <c r="G186" i="18" s="1"/>
  <c r="F186" i="18" s="1"/>
  <c r="X37" i="1"/>
  <c r="O37" i="17"/>
  <c r="G258" i="18" s="1"/>
  <c r="F258" i="18" s="1"/>
  <c r="X39" i="1"/>
  <c r="N39" i="17"/>
  <c r="G189" i="18" s="1"/>
  <c r="F189" i="18" s="1"/>
  <c r="X34" i="1"/>
  <c r="O34" i="17"/>
  <c r="G255" i="18" s="1"/>
  <c r="F255" i="18" s="1"/>
  <c r="X40" i="1"/>
  <c r="O40" i="17"/>
  <c r="G261" i="18" s="1"/>
  <c r="F261" i="18" s="1"/>
  <c r="X32" i="1"/>
  <c r="N32" i="17"/>
  <c r="X33" i="1"/>
  <c r="O33" i="17"/>
  <c r="G253" i="18" s="1"/>
  <c r="F253" i="18" s="1"/>
  <c r="G14" i="16"/>
  <c r="H14" i="16" s="1"/>
  <c r="X41" i="1"/>
  <c r="AP35" i="17"/>
  <c r="AR35" i="17" s="1"/>
  <c r="AA24" i="1"/>
  <c r="AA25" i="1" s="1"/>
  <c r="E25" i="17"/>
  <c r="AP24" i="17"/>
  <c r="AD34" i="1"/>
  <c r="AD35" i="1"/>
  <c r="AD31" i="1"/>
  <c r="AD32" i="1"/>
  <c r="AD40" i="1"/>
  <c r="AD39" i="1"/>
  <c r="AD33" i="1"/>
  <c r="AD37" i="1"/>
  <c r="AD36" i="1"/>
  <c r="F17" i="17"/>
  <c r="AD38" i="1"/>
  <c r="E17" i="17"/>
  <c r="AP15" i="17"/>
  <c r="Z22" i="17"/>
  <c r="Z27" i="17" s="1"/>
  <c r="I22" i="17"/>
  <c r="I27" i="17" s="1"/>
  <c r="I117" i="17" s="1"/>
  <c r="S41" i="5"/>
  <c r="E31" i="6"/>
  <c r="AA15" i="1"/>
  <c r="AA35" i="1"/>
  <c r="U35" i="7"/>
  <c r="U34" i="7"/>
  <c r="U36" i="7"/>
  <c r="AA31" i="1"/>
  <c r="U31" i="7"/>
  <c r="AA38" i="1"/>
  <c r="U38" i="7"/>
  <c r="U32" i="7"/>
  <c r="U40" i="7"/>
  <c r="U39" i="7"/>
  <c r="U33" i="7"/>
  <c r="U37" i="7"/>
  <c r="AP32" i="17" l="1"/>
  <c r="G181" i="18"/>
  <c r="F181" i="18" s="1"/>
  <c r="L25" i="7"/>
  <c r="H25" i="7"/>
  <c r="P25" i="7"/>
  <c r="F25" i="7"/>
  <c r="I25" i="7"/>
  <c r="J25" i="7"/>
  <c r="M25" i="7"/>
  <c r="N25" i="7"/>
  <c r="O25" i="7"/>
  <c r="K25" i="7"/>
  <c r="G25" i="7"/>
  <c r="AP38" i="17"/>
  <c r="AR38" i="17" s="1"/>
  <c r="F41" i="17"/>
  <c r="F27" i="17"/>
  <c r="I22" i="7"/>
  <c r="AA37" i="1"/>
  <c r="AA34" i="1"/>
  <c r="AA36" i="1"/>
  <c r="AA39" i="1"/>
  <c r="AA33" i="1"/>
  <c r="AA40" i="1"/>
  <c r="AA32" i="1"/>
  <c r="L22" i="7"/>
  <c r="M22" i="7"/>
  <c r="N22" i="7"/>
  <c r="H22" i="7"/>
  <c r="G22" i="7"/>
  <c r="AD41" i="1"/>
  <c r="F22" i="7"/>
  <c r="AP25" i="17"/>
  <c r="AR25" i="17" s="1"/>
  <c r="AR24" i="17"/>
  <c r="AP31" i="17"/>
  <c r="O22" i="17"/>
  <c r="O27" i="17" s="1"/>
  <c r="AB22" i="17"/>
  <c r="AB27" i="17" s="1"/>
  <c r="AR15" i="17"/>
  <c r="K22" i="17"/>
  <c r="K27" i="17" s="1"/>
  <c r="AF22" i="17"/>
  <c r="AF27" i="17" s="1"/>
  <c r="AF117" i="17" s="1"/>
  <c r="E22" i="7"/>
  <c r="E25" i="7"/>
  <c r="S24" i="7"/>
  <c r="E47" i="6"/>
  <c r="E158" i="6" s="1"/>
  <c r="U41" i="7"/>
  <c r="S41" i="1"/>
  <c r="J22" i="11" s="1"/>
  <c r="P41" i="1"/>
  <c r="U41" i="1" l="1"/>
  <c r="E22" i="11" s="1"/>
  <c r="G22" i="11" s="1"/>
  <c r="K22" i="11"/>
  <c r="G19" i="16"/>
  <c r="H19" i="16" s="1"/>
  <c r="AP36" i="17"/>
  <c r="AR36" i="17" s="1"/>
  <c r="AP40" i="17"/>
  <c r="AR40" i="17" s="1"/>
  <c r="AP37" i="17"/>
  <c r="AR37" i="17" s="1"/>
  <c r="AP39" i="17"/>
  <c r="AR39" i="17" s="1"/>
  <c r="AA41" i="1"/>
  <c r="O41" i="17"/>
  <c r="AP33" i="17"/>
  <c r="AR33" i="17" s="1"/>
  <c r="N41" i="17"/>
  <c r="AP34" i="17"/>
  <c r="AR34" i="17" s="1"/>
  <c r="M41" i="17"/>
  <c r="AR32" i="17"/>
  <c r="L22" i="17"/>
  <c r="L27" i="17" s="1"/>
  <c r="L117" i="17" s="1"/>
  <c r="AR31" i="17"/>
  <c r="AC22" i="17"/>
  <c r="AC27" i="17" s="1"/>
  <c r="AC117" i="17" s="1"/>
  <c r="U24" i="8"/>
  <c r="S25" i="7"/>
  <c r="V24" i="7"/>
  <c r="V25" i="7" s="1"/>
  <c r="C115" i="3"/>
  <c r="C101" i="3"/>
  <c r="C89" i="3"/>
  <c r="C83" i="3"/>
  <c r="C67" i="3"/>
  <c r="C48" i="3"/>
  <c r="C41" i="3"/>
  <c r="Y120" i="3"/>
  <c r="AA120" i="3" s="1"/>
  <c r="AC120" i="3" s="1"/>
  <c r="AE120" i="3" s="1"/>
  <c r="K121" i="3"/>
  <c r="K122" i="3"/>
  <c r="Y122" i="3" s="1"/>
  <c r="AA122" i="3" s="1"/>
  <c r="AC122" i="3" s="1"/>
  <c r="AE122" i="3" s="1"/>
  <c r="Y125" i="3"/>
  <c r="Y142" i="3" s="1"/>
  <c r="Y126" i="3"/>
  <c r="Y128" i="3"/>
  <c r="Y129" i="3"/>
  <c r="Y153" i="3" s="1"/>
  <c r="Y133" i="3"/>
  <c r="AA133" i="3" s="1"/>
  <c r="AC133" i="3" s="1"/>
  <c r="AE133" i="3" s="1"/>
  <c r="Y134" i="3"/>
  <c r="AA134" i="3" s="1"/>
  <c r="AC134" i="3" s="1"/>
  <c r="AE134" i="3" s="1"/>
  <c r="Y130" i="3"/>
  <c r="M57" i="17" l="1"/>
  <c r="G137" i="18" s="1"/>
  <c r="F137" i="18" s="1"/>
  <c r="M51" i="17"/>
  <c r="G130" i="18" s="1"/>
  <c r="F130" i="18" s="1"/>
  <c r="Y132" i="3"/>
  <c r="AA132" i="3" s="1"/>
  <c r="AC132" i="3" s="1"/>
  <c r="AE132" i="3" s="1"/>
  <c r="Y121" i="3"/>
  <c r="Y123" i="3" s="1"/>
  <c r="Y139" i="3" s="1"/>
  <c r="K123" i="3"/>
  <c r="AP41" i="17"/>
  <c r="AR41" i="17" s="1"/>
  <c r="Y145" i="3"/>
  <c r="Y146" i="3"/>
  <c r="Y144" i="3"/>
  <c r="AA126" i="3"/>
  <c r="AA130" i="3"/>
  <c r="Y154" i="3"/>
  <c r="AA128" i="3"/>
  <c r="AA125" i="3"/>
  <c r="Y152" i="3"/>
  <c r="AA129" i="3"/>
  <c r="U25" i="8"/>
  <c r="E128" i="7"/>
  <c r="Z54" i="3"/>
  <c r="Z41" i="3"/>
  <c r="K138" i="3" l="1"/>
  <c r="K139" i="3"/>
  <c r="K140" i="3"/>
  <c r="Y135" i="3"/>
  <c r="Y162" i="3" s="1"/>
  <c r="N48" i="7"/>
  <c r="N48" i="8" s="1"/>
  <c r="N48" i="9" s="1"/>
  <c r="N48" i="10" s="1"/>
  <c r="M48" i="7"/>
  <c r="M48" i="8" s="1"/>
  <c r="M48" i="9" s="1"/>
  <c r="M48" i="10" s="1"/>
  <c r="L48" i="7"/>
  <c r="L48" i="8" s="1"/>
  <c r="L48" i="9" s="1"/>
  <c r="L48" i="10" s="1"/>
  <c r="K48" i="7"/>
  <c r="K48" i="8" s="1"/>
  <c r="K48" i="9" s="1"/>
  <c r="K48" i="10" s="1"/>
  <c r="J48" i="7"/>
  <c r="J48" i="8" s="1"/>
  <c r="J48" i="9" s="1"/>
  <c r="J48" i="10" s="1"/>
  <c r="I48" i="7"/>
  <c r="I48" i="8" s="1"/>
  <c r="I48" i="9" s="1"/>
  <c r="I48" i="10" s="1"/>
  <c r="E48" i="7"/>
  <c r="E48" i="8" s="1"/>
  <c r="E48" i="9" s="1"/>
  <c r="E48" i="10" s="1"/>
  <c r="H48" i="7"/>
  <c r="H48" i="8" s="1"/>
  <c r="H48" i="9" s="1"/>
  <c r="H48" i="10" s="1"/>
  <c r="G48" i="7"/>
  <c r="G48" i="8" s="1"/>
  <c r="G48" i="9" s="1"/>
  <c r="G48" i="10" s="1"/>
  <c r="F48" i="7"/>
  <c r="F48" i="8" s="1"/>
  <c r="F48" i="9" s="1"/>
  <c r="F48" i="10" s="1"/>
  <c r="P48" i="7"/>
  <c r="P48" i="8" s="1"/>
  <c r="P48" i="9" s="1"/>
  <c r="P48" i="10" s="1"/>
  <c r="O48" i="7"/>
  <c r="O48" i="8" s="1"/>
  <c r="O48" i="9" s="1"/>
  <c r="O48" i="10" s="1"/>
  <c r="AA121" i="3"/>
  <c r="AC121" i="3" s="1"/>
  <c r="AE121" i="3" s="1"/>
  <c r="AE123" i="3" s="1"/>
  <c r="K161" i="3"/>
  <c r="AA146" i="3"/>
  <c r="AA145" i="3"/>
  <c r="AA144" i="3"/>
  <c r="AC126" i="3"/>
  <c r="Y155" i="3"/>
  <c r="K159" i="3"/>
  <c r="AA142" i="3"/>
  <c r="AC130" i="3"/>
  <c r="AA154" i="3"/>
  <c r="AC125" i="3"/>
  <c r="AC128" i="3"/>
  <c r="AA152" i="3"/>
  <c r="AA153" i="3"/>
  <c r="AC129" i="3"/>
  <c r="K162" i="3"/>
  <c r="S128" i="1"/>
  <c r="E139" i="6" s="1"/>
  <c r="Y158" i="3"/>
  <c r="Y150" i="3"/>
  <c r="Y140" i="3"/>
  <c r="AA149" i="3"/>
  <c r="AA157" i="3"/>
  <c r="Y149" i="3"/>
  <c r="Y157" i="3"/>
  <c r="AB54" i="3"/>
  <c r="AD54" i="3"/>
  <c r="AD41" i="3"/>
  <c r="AB41" i="3"/>
  <c r="AA135" i="3"/>
  <c r="K141" i="3" l="1"/>
  <c r="Y161" i="3"/>
  <c r="O61" i="8"/>
  <c r="O61" i="9" s="1"/>
  <c r="O61" i="10" s="1"/>
  <c r="E61" i="8"/>
  <c r="E61" i="9" s="1"/>
  <c r="E61" i="10" s="1"/>
  <c r="N61" i="8"/>
  <c r="N61" i="9" s="1"/>
  <c r="N61" i="10" s="1"/>
  <c r="M61" i="8"/>
  <c r="M61" i="9" s="1"/>
  <c r="M61" i="10" s="1"/>
  <c r="L61" i="8"/>
  <c r="L61" i="9" s="1"/>
  <c r="L61" i="10" s="1"/>
  <c r="K61" i="8"/>
  <c r="K61" i="9" s="1"/>
  <c r="K61" i="10" s="1"/>
  <c r="J61" i="8"/>
  <c r="J61" i="9" s="1"/>
  <c r="J61" i="10" s="1"/>
  <c r="I61" i="8"/>
  <c r="I61" i="9" s="1"/>
  <c r="I61" i="10" s="1"/>
  <c r="H61" i="8"/>
  <c r="H61" i="9" s="1"/>
  <c r="H61" i="10" s="1"/>
  <c r="G61" i="8"/>
  <c r="G61" i="9" s="1"/>
  <c r="G61" i="10" s="1"/>
  <c r="F61" i="8"/>
  <c r="F61" i="9" s="1"/>
  <c r="F61" i="10" s="1"/>
  <c r="O45" i="8"/>
  <c r="O45" i="9" s="1"/>
  <c r="O45" i="10" s="1"/>
  <c r="N45" i="8"/>
  <c r="N45" i="9" s="1"/>
  <c r="N45" i="10" s="1"/>
  <c r="M45" i="8"/>
  <c r="M45" i="9" s="1"/>
  <c r="M45" i="10" s="1"/>
  <c r="L45" i="8"/>
  <c r="L45" i="9" s="1"/>
  <c r="L45" i="10" s="1"/>
  <c r="K45" i="8"/>
  <c r="K45" i="9" s="1"/>
  <c r="K45" i="10" s="1"/>
  <c r="J45" i="8"/>
  <c r="J45" i="9" s="1"/>
  <c r="J45" i="10" s="1"/>
  <c r="H45" i="8"/>
  <c r="H45" i="9" s="1"/>
  <c r="H45" i="10" s="1"/>
  <c r="G45" i="8"/>
  <c r="G45" i="9" s="1"/>
  <c r="G45" i="10" s="1"/>
  <c r="F45" i="8"/>
  <c r="F45" i="9" s="1"/>
  <c r="F45" i="10" s="1"/>
  <c r="K60" i="7"/>
  <c r="K60" i="8" s="1"/>
  <c r="K60" i="9" s="1"/>
  <c r="K60" i="10" s="1"/>
  <c r="J60" i="7"/>
  <c r="J60" i="8" s="1"/>
  <c r="J60" i="9" s="1"/>
  <c r="J60" i="10" s="1"/>
  <c r="I60" i="7"/>
  <c r="I60" i="8" s="1"/>
  <c r="I60" i="9" s="1"/>
  <c r="I60" i="10" s="1"/>
  <c r="E60" i="7"/>
  <c r="E60" i="8" s="1"/>
  <c r="E60" i="9" s="1"/>
  <c r="E60" i="10" s="1"/>
  <c r="H60" i="7"/>
  <c r="H60" i="8" s="1"/>
  <c r="H60" i="9" s="1"/>
  <c r="H60" i="10" s="1"/>
  <c r="G60" i="7"/>
  <c r="G60" i="8" s="1"/>
  <c r="G60" i="9" s="1"/>
  <c r="G60" i="10" s="1"/>
  <c r="L60" i="7"/>
  <c r="L60" i="8" s="1"/>
  <c r="L60" i="9" s="1"/>
  <c r="L60" i="10" s="1"/>
  <c r="F60" i="7"/>
  <c r="F60" i="8" s="1"/>
  <c r="F60" i="9" s="1"/>
  <c r="F60" i="10" s="1"/>
  <c r="M60" i="7"/>
  <c r="M60" i="8" s="1"/>
  <c r="M60" i="9" s="1"/>
  <c r="M60" i="10" s="1"/>
  <c r="O60" i="7"/>
  <c r="O60" i="8" s="1"/>
  <c r="O60" i="9" s="1"/>
  <c r="O60" i="10" s="1"/>
  <c r="N60" i="7"/>
  <c r="N60" i="8" s="1"/>
  <c r="N60" i="9" s="1"/>
  <c r="N60" i="10" s="1"/>
  <c r="K44" i="7"/>
  <c r="K44" i="8" s="1"/>
  <c r="K44" i="9" s="1"/>
  <c r="K44" i="10" s="1"/>
  <c r="J44" i="7"/>
  <c r="J44" i="8" s="1"/>
  <c r="J44" i="9" s="1"/>
  <c r="J44" i="10" s="1"/>
  <c r="I44" i="7"/>
  <c r="I44" i="8" s="1"/>
  <c r="I44" i="9" s="1"/>
  <c r="I44" i="10" s="1"/>
  <c r="H44" i="7"/>
  <c r="H44" i="8" s="1"/>
  <c r="H44" i="9" s="1"/>
  <c r="H44" i="10" s="1"/>
  <c r="G44" i="7"/>
  <c r="G44" i="8" s="1"/>
  <c r="G44" i="9" s="1"/>
  <c r="G44" i="10" s="1"/>
  <c r="F44" i="7"/>
  <c r="F44" i="8" s="1"/>
  <c r="F44" i="9" s="1"/>
  <c r="F44" i="10" s="1"/>
  <c r="N44" i="7"/>
  <c r="N44" i="8" s="1"/>
  <c r="N44" i="9" s="1"/>
  <c r="N44" i="10" s="1"/>
  <c r="M44" i="7"/>
  <c r="M44" i="8" s="1"/>
  <c r="M44" i="9" s="1"/>
  <c r="M44" i="10" s="1"/>
  <c r="L44" i="7"/>
  <c r="L44" i="8" s="1"/>
  <c r="L44" i="9" s="1"/>
  <c r="L44" i="10" s="1"/>
  <c r="O44" i="7"/>
  <c r="O44" i="8" s="1"/>
  <c r="O44" i="9" s="1"/>
  <c r="O44" i="10" s="1"/>
  <c r="E45" i="8"/>
  <c r="E45" i="9" s="1"/>
  <c r="E45" i="10" s="1"/>
  <c r="E44" i="8"/>
  <c r="E44" i="9" s="1"/>
  <c r="E44" i="10" s="1"/>
  <c r="AC123" i="3"/>
  <c r="AC140" i="3" s="1"/>
  <c r="AA123" i="3"/>
  <c r="AA139" i="3" s="1"/>
  <c r="S57" i="1"/>
  <c r="N57" i="17" s="1"/>
  <c r="G209" i="18" s="1"/>
  <c r="F209" i="18" s="1"/>
  <c r="AC145" i="3"/>
  <c r="AC146" i="3"/>
  <c r="AC144" i="3"/>
  <c r="AE126" i="3"/>
  <c r="Y143" i="3"/>
  <c r="AA143" i="3"/>
  <c r="AA155" i="3"/>
  <c r="AC142" i="3"/>
  <c r="AE128" i="3"/>
  <c r="AA162" i="3"/>
  <c r="AE130" i="3"/>
  <c r="AC154" i="3"/>
  <c r="AE125" i="3"/>
  <c r="AC152" i="3"/>
  <c r="AC153" i="3"/>
  <c r="AE129" i="3"/>
  <c r="AA158" i="3"/>
  <c r="AA150" i="3"/>
  <c r="AA161" i="3"/>
  <c r="S56" i="1"/>
  <c r="X56" i="1" s="1"/>
  <c r="AG156" i="3" s="1"/>
  <c r="AH156" i="3" s="1"/>
  <c r="S47" i="1"/>
  <c r="X47" i="1" s="1"/>
  <c r="AG144" i="3" s="1"/>
  <c r="AH144" i="3" s="1"/>
  <c r="S50" i="1"/>
  <c r="X50" i="1" s="1"/>
  <c r="AG148" i="3" s="1"/>
  <c r="AH148" i="3" s="1"/>
  <c r="S49" i="1"/>
  <c r="O49" i="17" s="1"/>
  <c r="G269" i="18" s="1"/>
  <c r="F269" i="18" s="1"/>
  <c r="S55" i="1"/>
  <c r="O55" i="17" s="1"/>
  <c r="G277" i="18" s="1"/>
  <c r="F277" i="18" s="1"/>
  <c r="S58" i="1"/>
  <c r="O58" i="17" s="1"/>
  <c r="G280" i="18" s="1"/>
  <c r="F280" i="18" s="1"/>
  <c r="AE140" i="3"/>
  <c r="AC158" i="3"/>
  <c r="AC150" i="3"/>
  <c r="S51" i="1"/>
  <c r="N51" i="17" s="1"/>
  <c r="G202" i="18" s="1"/>
  <c r="F202" i="18" s="1"/>
  <c r="S54" i="1"/>
  <c r="N54" i="17" s="1"/>
  <c r="G206" i="18" s="1"/>
  <c r="F206" i="18" s="1"/>
  <c r="S48" i="1"/>
  <c r="N48" i="17" s="1"/>
  <c r="G198" i="18" s="1"/>
  <c r="F198" i="18" s="1"/>
  <c r="AC149" i="3"/>
  <c r="AC157" i="3"/>
  <c r="AE139" i="3"/>
  <c r="AE135" i="3"/>
  <c r="AC135" i="3"/>
  <c r="X49" i="1" l="1"/>
  <c r="AG146" i="3" s="1"/>
  <c r="AH146" i="3" s="1"/>
  <c r="X58" i="1"/>
  <c r="AG158" i="3" s="1"/>
  <c r="AH158" i="3" s="1"/>
  <c r="X55" i="1"/>
  <c r="AG154" i="3" s="1"/>
  <c r="AH154" i="3" s="1"/>
  <c r="X48" i="1"/>
  <c r="AG145" i="3" s="1"/>
  <c r="AH145" i="3" s="1"/>
  <c r="X54" i="1"/>
  <c r="AG153" i="3" s="1"/>
  <c r="AH153" i="3" s="1"/>
  <c r="X57" i="1"/>
  <c r="AG157" i="3" s="1"/>
  <c r="AH157" i="3" s="1"/>
  <c r="X51" i="1"/>
  <c r="AG149" i="3" s="1"/>
  <c r="AH149" i="3" s="1"/>
  <c r="P45" i="8"/>
  <c r="P45" i="9" s="1"/>
  <c r="P45" i="10" s="1"/>
  <c r="P44" i="7"/>
  <c r="P44" i="8" s="1"/>
  <c r="P44" i="9" s="1"/>
  <c r="P44" i="10" s="1"/>
  <c r="P61" i="8"/>
  <c r="P61" i="9" s="1"/>
  <c r="P61" i="10" s="1"/>
  <c r="P60" i="7"/>
  <c r="P60" i="8" s="1"/>
  <c r="P60" i="9" s="1"/>
  <c r="P60" i="10" s="1"/>
  <c r="I45" i="8"/>
  <c r="I45" i="9" s="1"/>
  <c r="I45" i="10" s="1"/>
  <c r="H52" i="7"/>
  <c r="H52" i="8" s="1"/>
  <c r="H52" i="9" s="1"/>
  <c r="H52" i="10" s="1"/>
  <c r="I52" i="7"/>
  <c r="I52" i="8" s="1"/>
  <c r="I52" i="9" s="1"/>
  <c r="I52" i="10" s="1"/>
  <c r="J52" i="7"/>
  <c r="J52" i="8" s="1"/>
  <c r="J52" i="9" s="1"/>
  <c r="J52" i="10" s="1"/>
  <c r="G52" i="7"/>
  <c r="G52" i="8" s="1"/>
  <c r="G52" i="9" s="1"/>
  <c r="G52" i="10" s="1"/>
  <c r="K52" i="7"/>
  <c r="K52" i="8" s="1"/>
  <c r="K52" i="9" s="1"/>
  <c r="K52" i="10" s="1"/>
  <c r="L52" i="7"/>
  <c r="L52" i="8" s="1"/>
  <c r="L52" i="9" s="1"/>
  <c r="L52" i="10" s="1"/>
  <c r="M52" i="7"/>
  <c r="M52" i="8" s="1"/>
  <c r="M52" i="9" s="1"/>
  <c r="M52" i="10" s="1"/>
  <c r="N52" i="7"/>
  <c r="N52" i="8" s="1"/>
  <c r="N52" i="9" s="1"/>
  <c r="N52" i="10" s="1"/>
  <c r="O52" i="7"/>
  <c r="O52" i="8" s="1"/>
  <c r="O52" i="9" s="1"/>
  <c r="O52" i="10" s="1"/>
  <c r="P52" i="7"/>
  <c r="P52" i="8" s="1"/>
  <c r="P52" i="9" s="1"/>
  <c r="P52" i="10" s="1"/>
  <c r="E52" i="7"/>
  <c r="E52" i="8" s="1"/>
  <c r="E52" i="9" s="1"/>
  <c r="E52" i="10" s="1"/>
  <c r="S52" i="1"/>
  <c r="O52" i="17" s="1"/>
  <c r="G273" i="18" s="1"/>
  <c r="F273" i="18" s="1"/>
  <c r="F52" i="7"/>
  <c r="F52" i="8" s="1"/>
  <c r="F52" i="9" s="1"/>
  <c r="F52" i="10" s="1"/>
  <c r="AA140" i="3"/>
  <c r="AC139" i="3"/>
  <c r="AD51" i="1"/>
  <c r="AD58" i="1"/>
  <c r="AD55" i="1"/>
  <c r="AD47" i="1"/>
  <c r="AD49" i="1"/>
  <c r="AD48" i="1"/>
  <c r="AD54" i="1"/>
  <c r="AD57" i="1"/>
  <c r="AD50" i="1"/>
  <c r="AD56" i="1"/>
  <c r="AE145" i="3"/>
  <c r="AE146" i="3"/>
  <c r="AE144" i="3"/>
  <c r="AC143" i="3"/>
  <c r="S44" i="1"/>
  <c r="N44" i="17" s="1"/>
  <c r="G192" i="18" s="1"/>
  <c r="F192" i="18" s="1"/>
  <c r="AC155" i="3"/>
  <c r="AE142" i="3"/>
  <c r="S60" i="1"/>
  <c r="N60" i="17" s="1"/>
  <c r="G212" i="18" s="1"/>
  <c r="F212" i="18" s="1"/>
  <c r="AE162" i="3"/>
  <c r="AC162" i="3"/>
  <c r="AE154" i="3"/>
  <c r="AE152" i="3"/>
  <c r="AE153" i="3"/>
  <c r="AE157" i="3"/>
  <c r="AE149" i="3"/>
  <c r="S61" i="1"/>
  <c r="O61" i="17" s="1"/>
  <c r="G283" i="18" s="1"/>
  <c r="F283" i="18" s="1"/>
  <c r="AE150" i="3"/>
  <c r="AC161" i="3"/>
  <c r="AE158" i="3"/>
  <c r="AE161" i="3"/>
  <c r="S57" i="8"/>
  <c r="S45" i="1"/>
  <c r="O45" i="17" s="1"/>
  <c r="G264" i="18" s="1"/>
  <c r="F264" i="18" s="1"/>
  <c r="S58" i="7"/>
  <c r="S57" i="7"/>
  <c r="AA50" i="1"/>
  <c r="U50" i="7"/>
  <c r="AA47" i="1"/>
  <c r="U47" i="7"/>
  <c r="AA56" i="1"/>
  <c r="U56" i="7"/>
  <c r="U57" i="7"/>
  <c r="U55" i="7"/>
  <c r="U51" i="7"/>
  <c r="U58" i="7"/>
  <c r="U54" i="7"/>
  <c r="U48" i="7"/>
  <c r="U49" i="7"/>
  <c r="C13" i="3"/>
  <c r="X9" i="3"/>
  <c r="S60" i="7" l="1"/>
  <c r="U60" i="8" s="1"/>
  <c r="S61" i="7"/>
  <c r="U61" i="8" s="1"/>
  <c r="X61" i="1"/>
  <c r="AG162" i="3" s="1"/>
  <c r="AH162" i="3" s="1"/>
  <c r="X60" i="1"/>
  <c r="AG161" i="3" s="1"/>
  <c r="AH161" i="3" s="1"/>
  <c r="X52" i="1"/>
  <c r="AG150" i="3" s="1"/>
  <c r="AH150" i="3" s="1"/>
  <c r="X45" i="1"/>
  <c r="AG140" i="3" s="1"/>
  <c r="AH140" i="3" s="1"/>
  <c r="X44" i="1"/>
  <c r="AG139" i="3" s="1"/>
  <c r="AH139" i="3" s="1"/>
  <c r="AD52" i="1"/>
  <c r="U52" i="7"/>
  <c r="AA52" i="1"/>
  <c r="AP56" i="17"/>
  <c r="AR56" i="17" s="1"/>
  <c r="AP50" i="17"/>
  <c r="AR50" i="17" s="1"/>
  <c r="S45" i="7"/>
  <c r="U45" i="8" s="1"/>
  <c r="AP47" i="17"/>
  <c r="AR47" i="17" s="1"/>
  <c r="Z9" i="3"/>
  <c r="AB9" i="3" s="1"/>
  <c r="AD9" i="3" s="1"/>
  <c r="S44" i="7"/>
  <c r="AA57" i="1"/>
  <c r="AA55" i="1"/>
  <c r="AA51" i="1"/>
  <c r="AA58" i="1"/>
  <c r="AA54" i="1"/>
  <c r="AA48" i="1"/>
  <c r="AA49" i="1"/>
  <c r="AD60" i="1"/>
  <c r="AD61" i="1"/>
  <c r="AD45" i="1"/>
  <c r="U44" i="7"/>
  <c r="AD44" i="1"/>
  <c r="U60" i="7"/>
  <c r="AE155" i="3"/>
  <c r="AE143" i="3"/>
  <c r="S61" i="8"/>
  <c r="U61" i="7"/>
  <c r="U57" i="9"/>
  <c r="U58" i="8"/>
  <c r="U57" i="8"/>
  <c r="V57" i="8" s="1"/>
  <c r="V57" i="7"/>
  <c r="U45" i="7"/>
  <c r="V58" i="7"/>
  <c r="S44" i="8"/>
  <c r="S60" i="8"/>
  <c r="S57" i="9"/>
  <c r="S58" i="9"/>
  <c r="S58" i="8"/>
  <c r="S45" i="10"/>
  <c r="S45" i="9"/>
  <c r="S44" i="10"/>
  <c r="V60" i="7" l="1"/>
  <c r="V61" i="7"/>
  <c r="V45" i="7"/>
  <c r="AP52" i="17"/>
  <c r="AR52" i="17" s="1"/>
  <c r="U44" i="8"/>
  <c r="V44" i="8" s="1"/>
  <c r="U61" i="9"/>
  <c r="V44" i="7"/>
  <c r="S45" i="8"/>
  <c r="S44" i="9"/>
  <c r="AP48" i="17"/>
  <c r="AR48" i="17" s="1"/>
  <c r="AP55" i="17"/>
  <c r="AR55" i="17" s="1"/>
  <c r="AP54" i="17"/>
  <c r="AR54" i="17" s="1"/>
  <c r="AP57" i="17"/>
  <c r="AR57" i="17" s="1"/>
  <c r="AP49" i="17"/>
  <c r="AR49" i="17" s="1"/>
  <c r="AP58" i="17"/>
  <c r="AR58" i="17" s="1"/>
  <c r="AP51" i="17"/>
  <c r="AR51" i="17" s="1"/>
  <c r="AA45" i="1"/>
  <c r="AA60" i="1"/>
  <c r="AA61" i="1"/>
  <c r="AA44" i="1"/>
  <c r="S61" i="9"/>
  <c r="V61" i="8"/>
  <c r="S61" i="10"/>
  <c r="S57" i="10"/>
  <c r="S53" i="1"/>
  <c r="X53" i="1" s="1"/>
  <c r="AG152" i="3" s="1"/>
  <c r="AH152" i="3" s="1"/>
  <c r="S60" i="10"/>
  <c r="S60" i="9"/>
  <c r="S58" i="10"/>
  <c r="V60" i="8"/>
  <c r="U57" i="10"/>
  <c r="U45" i="10"/>
  <c r="V45" i="10" s="1"/>
  <c r="U58" i="10"/>
  <c r="U44" i="9"/>
  <c r="U58" i="9"/>
  <c r="V58" i="9" s="1"/>
  <c r="U60" i="9"/>
  <c r="V57" i="9"/>
  <c r="V58" i="8"/>
  <c r="Y156" i="3"/>
  <c r="Y148" i="3"/>
  <c r="Y151" i="3" s="1"/>
  <c r="Y147" i="3"/>
  <c r="Y160" i="3"/>
  <c r="Y163" i="3" s="1"/>
  <c r="Y138" i="3"/>
  <c r="Z13" i="3"/>
  <c r="U44" i="10" l="1"/>
  <c r="V44" i="10" s="1"/>
  <c r="U45" i="9"/>
  <c r="V45" i="9" s="1"/>
  <c r="U61" i="10"/>
  <c r="V61" i="10" s="1"/>
  <c r="V45" i="8"/>
  <c r="V44" i="9"/>
  <c r="AP61" i="17"/>
  <c r="AR61" i="17" s="1"/>
  <c r="AP60" i="17"/>
  <c r="AR60" i="17" s="1"/>
  <c r="AP45" i="17"/>
  <c r="AR45" i="17" s="1"/>
  <c r="M62" i="17"/>
  <c r="AP44" i="17"/>
  <c r="AR44" i="17" s="1"/>
  <c r="AD53" i="1"/>
  <c r="Y141" i="3"/>
  <c r="V61" i="9"/>
  <c r="Y159" i="3"/>
  <c r="V57" i="10"/>
  <c r="AA53" i="1"/>
  <c r="U53" i="7"/>
  <c r="U60" i="10"/>
  <c r="V60" i="10" s="1"/>
  <c r="V60" i="9"/>
  <c r="V58" i="10"/>
  <c r="AA160" i="3"/>
  <c r="AA163" i="3" s="1"/>
  <c r="AA138" i="3"/>
  <c r="AA156" i="3"/>
  <c r="AA148" i="3"/>
  <c r="AA151" i="3" s="1"/>
  <c r="AA147" i="3"/>
  <c r="AD13" i="3"/>
  <c r="AB13" i="3"/>
  <c r="AP53" i="17" l="1"/>
  <c r="AR53" i="17" s="1"/>
  <c r="Y164" i="3"/>
  <c r="AA141" i="3"/>
  <c r="AA159" i="3"/>
  <c r="S56" i="7"/>
  <c r="AC156" i="3"/>
  <c r="AC148" i="3"/>
  <c r="AC151" i="3" s="1"/>
  <c r="AC147" i="3"/>
  <c r="AE160" i="3"/>
  <c r="AE138" i="3"/>
  <c r="AC160" i="3"/>
  <c r="AC163" i="3" s="1"/>
  <c r="AC138" i="3"/>
  <c r="A3" i="3"/>
  <c r="A3" i="2"/>
  <c r="A1" i="3"/>
  <c r="A1" i="2"/>
  <c r="E62" i="17" l="1"/>
  <c r="AE163" i="3"/>
  <c r="AA164" i="3"/>
  <c r="AC141" i="3"/>
  <c r="AE141" i="3"/>
  <c r="AC159" i="3"/>
  <c r="AE156" i="3"/>
  <c r="AE148" i="3"/>
  <c r="AE151" i="3" s="1"/>
  <c r="AE147" i="3"/>
  <c r="U56" i="8"/>
  <c r="V56" i="7"/>
  <c r="S56" i="8"/>
  <c r="H41" i="2"/>
  <c r="J41" i="2" s="1"/>
  <c r="L41" i="2" s="1"/>
  <c r="N41" i="2" s="1"/>
  <c r="H42" i="2"/>
  <c r="J42" i="2" s="1"/>
  <c r="H43" i="2"/>
  <c r="J43" i="2" s="1"/>
  <c r="L43" i="2" s="1"/>
  <c r="N43" i="2" s="1"/>
  <c r="H44" i="2"/>
  <c r="J44" i="2" s="1"/>
  <c r="L44" i="2" s="1"/>
  <c r="N44" i="2" s="1"/>
  <c r="H40" i="2"/>
  <c r="J40" i="2" s="1"/>
  <c r="L40" i="2" s="1"/>
  <c r="F45" i="2"/>
  <c r="A1" i="1"/>
  <c r="H24" i="2"/>
  <c r="J24" i="2"/>
  <c r="L24" i="2"/>
  <c r="N24" i="2"/>
  <c r="N5" i="7" l="1"/>
  <c r="I5" i="10"/>
  <c r="E5" i="9"/>
  <c r="M5" i="7"/>
  <c r="H5" i="10"/>
  <c r="P5" i="8"/>
  <c r="L5" i="7"/>
  <c r="G5" i="10"/>
  <c r="O5" i="8"/>
  <c r="K5" i="7"/>
  <c r="J5" i="9"/>
  <c r="P5" i="7"/>
  <c r="F5" i="9"/>
  <c r="F5" i="10"/>
  <c r="N5" i="8"/>
  <c r="J5" i="7"/>
  <c r="E5" i="10"/>
  <c r="M5" i="8"/>
  <c r="I5" i="7"/>
  <c r="P5" i="9"/>
  <c r="L5" i="8"/>
  <c r="H5" i="7"/>
  <c r="E5" i="8"/>
  <c r="H5" i="9"/>
  <c r="G5" i="9"/>
  <c r="L5" i="10"/>
  <c r="O5" i="9"/>
  <c r="K5" i="8"/>
  <c r="G5" i="7"/>
  <c r="N5" i="9"/>
  <c r="J5" i="8"/>
  <c r="F5" i="7"/>
  <c r="K5" i="9"/>
  <c r="I5" i="9"/>
  <c r="K5" i="10"/>
  <c r="O5" i="7"/>
  <c r="M5" i="9"/>
  <c r="I5" i="8"/>
  <c r="E5" i="7"/>
  <c r="P5" i="10"/>
  <c r="L5" i="9"/>
  <c r="H5" i="8"/>
  <c r="O5" i="10"/>
  <c r="G5" i="8"/>
  <c r="N5" i="10"/>
  <c r="F5" i="8"/>
  <c r="M5" i="10"/>
  <c r="J5" i="10"/>
  <c r="I10" i="7"/>
  <c r="I10" i="8" s="1"/>
  <c r="I10" i="9" s="1"/>
  <c r="I10" i="10" s="1"/>
  <c r="F8" i="7"/>
  <c r="F8" i="8" s="1"/>
  <c r="F8" i="9" s="1"/>
  <c r="F8" i="10" s="1"/>
  <c r="O9" i="7"/>
  <c r="O9" i="8" s="1"/>
  <c r="O9" i="9" s="1"/>
  <c r="O9" i="10" s="1"/>
  <c r="H9" i="7"/>
  <c r="H9" i="8" s="1"/>
  <c r="H9" i="9" s="1"/>
  <c r="H9" i="10" s="1"/>
  <c r="N9" i="7"/>
  <c r="N9" i="8" s="1"/>
  <c r="N9" i="9" s="1"/>
  <c r="N9" i="10" s="1"/>
  <c r="G9" i="7"/>
  <c r="G9" i="8" s="1"/>
  <c r="G9" i="9" s="1"/>
  <c r="G9" i="10" s="1"/>
  <c r="K10" i="7"/>
  <c r="K10" i="8" s="1"/>
  <c r="K10" i="9" s="1"/>
  <c r="K10" i="10" s="1"/>
  <c r="M8" i="7"/>
  <c r="M8" i="8" s="1"/>
  <c r="M8" i="9" s="1"/>
  <c r="M8" i="10" s="1"/>
  <c r="J10" i="7"/>
  <c r="J10" i="8" s="1"/>
  <c r="J10" i="9" s="1"/>
  <c r="J10" i="10" s="1"/>
  <c r="P5" i="1"/>
  <c r="P8" i="1" s="1"/>
  <c r="S8" i="1" s="1"/>
  <c r="L42" i="2"/>
  <c r="N42" i="2" s="1"/>
  <c r="AC164" i="3"/>
  <c r="AE159" i="3"/>
  <c r="AE164" i="3" s="1"/>
  <c r="I7" i="6"/>
  <c r="O86" i="17"/>
  <c r="S72" i="17"/>
  <c r="F66" i="17"/>
  <c r="W82" i="17"/>
  <c r="J65" i="17"/>
  <c r="V77" i="17"/>
  <c r="E70" i="17"/>
  <c r="M6" i="6"/>
  <c r="I6" i="6"/>
  <c r="K6" i="6"/>
  <c r="U56" i="9"/>
  <c r="E6" i="6"/>
  <c r="S56" i="9"/>
  <c r="V56" i="8"/>
  <c r="G6" i="6"/>
  <c r="H45" i="2"/>
  <c r="N40" i="2"/>
  <c r="J45" i="2"/>
  <c r="P9" i="1" l="1"/>
  <c r="P10" i="1"/>
  <c r="P11" i="1"/>
  <c r="P11" i="7" s="1"/>
  <c r="P11" i="8" s="1"/>
  <c r="P11" i="9" s="1"/>
  <c r="P11" i="10" s="1"/>
  <c r="P12" i="1"/>
  <c r="L45" i="2"/>
  <c r="L9" i="7"/>
  <c r="L9" i="8" s="1"/>
  <c r="L9" i="9" s="1"/>
  <c r="L9" i="10" s="1"/>
  <c r="N64" i="17"/>
  <c r="E8" i="7"/>
  <c r="E8" i="8" s="1"/>
  <c r="E8" i="9" s="1"/>
  <c r="E8" i="10" s="1"/>
  <c r="Q5" i="1"/>
  <c r="F16" i="7"/>
  <c r="F16" i="8" s="1"/>
  <c r="F16" i="9" s="1"/>
  <c r="F16" i="10" s="1"/>
  <c r="L16" i="7"/>
  <c r="L16" i="8" s="1"/>
  <c r="L16" i="9" s="1"/>
  <c r="L16" i="10" s="1"/>
  <c r="E9" i="7"/>
  <c r="E9" i="8" s="1"/>
  <c r="E9" i="9" s="1"/>
  <c r="E9" i="10" s="1"/>
  <c r="AB91" i="17"/>
  <c r="AB94" i="17" s="1"/>
  <c r="AB115" i="17" s="1"/>
  <c r="AB117" i="17" s="1"/>
  <c r="E91" i="17"/>
  <c r="Z91" i="17"/>
  <c r="Z94" i="17" s="1"/>
  <c r="E10" i="7"/>
  <c r="E10" i="8" s="1"/>
  <c r="E10" i="9" s="1"/>
  <c r="E10" i="10" s="1"/>
  <c r="E11" i="7"/>
  <c r="E11" i="8" s="1"/>
  <c r="E11" i="9" s="1"/>
  <c r="E11" i="10" s="1"/>
  <c r="E12" i="7"/>
  <c r="E12" i="8" s="1"/>
  <c r="E12" i="9" s="1"/>
  <c r="E12" i="10" s="1"/>
  <c r="F92" i="17"/>
  <c r="P70" i="17"/>
  <c r="P74" i="17" s="1"/>
  <c r="P109" i="17"/>
  <c r="Z96" i="17"/>
  <c r="N96" i="17"/>
  <c r="E96" i="17"/>
  <c r="F96" i="17"/>
  <c r="W94" i="17"/>
  <c r="W115" i="17" s="1"/>
  <c r="W117" i="17" s="1"/>
  <c r="O94" i="17"/>
  <c r="E78" i="17"/>
  <c r="V78" i="17"/>
  <c r="E76" i="17"/>
  <c r="U76" i="17"/>
  <c r="E79" i="17"/>
  <c r="F79" i="17"/>
  <c r="S74" i="17"/>
  <c r="S115" i="17" s="1"/>
  <c r="S117" i="17" s="1"/>
  <c r="J74" i="17"/>
  <c r="J115" i="17" s="1"/>
  <c r="J117" i="17" s="1"/>
  <c r="N45" i="2"/>
  <c r="E65" i="17"/>
  <c r="AP65" i="17" s="1"/>
  <c r="E77" i="17"/>
  <c r="E99" i="17"/>
  <c r="E102" i="17"/>
  <c r="E90" i="17"/>
  <c r="E66" i="17"/>
  <c r="E86" i="17"/>
  <c r="E101" i="17"/>
  <c r="E71" i="17"/>
  <c r="E87" i="17"/>
  <c r="E97" i="17"/>
  <c r="E82" i="17"/>
  <c r="E72" i="17"/>
  <c r="N12" i="7"/>
  <c r="N12" i="8" s="1"/>
  <c r="N12" i="9" s="1"/>
  <c r="N12" i="10" s="1"/>
  <c r="H34" i="4"/>
  <c r="H118" i="4"/>
  <c r="X118" i="4" s="1"/>
  <c r="H28" i="4"/>
  <c r="G12" i="7"/>
  <c r="G12" i="8" s="1"/>
  <c r="G12" i="9" s="1"/>
  <c r="G12" i="10" s="1"/>
  <c r="G8" i="7"/>
  <c r="G8" i="8" s="1"/>
  <c r="G8" i="9" s="1"/>
  <c r="G8" i="10" s="1"/>
  <c r="G10" i="7"/>
  <c r="G10" i="8" s="1"/>
  <c r="G10" i="9" s="1"/>
  <c r="G10" i="10" s="1"/>
  <c r="K8" i="7"/>
  <c r="K8" i="8" s="1"/>
  <c r="K8" i="9" s="1"/>
  <c r="K8" i="10" s="1"/>
  <c r="G11" i="7"/>
  <c r="G11" i="8" s="1"/>
  <c r="G11" i="9" s="1"/>
  <c r="G11" i="10" s="1"/>
  <c r="I9" i="7"/>
  <c r="I9" i="8" s="1"/>
  <c r="I9" i="9" s="1"/>
  <c r="I9" i="10" s="1"/>
  <c r="N8" i="7"/>
  <c r="N8" i="8" s="1"/>
  <c r="N8" i="9" s="1"/>
  <c r="N8" i="10" s="1"/>
  <c r="N11" i="7"/>
  <c r="N11" i="8" s="1"/>
  <c r="N11" i="9" s="1"/>
  <c r="N11" i="10" s="1"/>
  <c r="O11" i="7"/>
  <c r="O11" i="8" s="1"/>
  <c r="O11" i="9" s="1"/>
  <c r="O11" i="10" s="1"/>
  <c r="F12" i="7"/>
  <c r="F12" i="8" s="1"/>
  <c r="F12" i="9" s="1"/>
  <c r="F12" i="10" s="1"/>
  <c r="F10" i="7"/>
  <c r="F10" i="8" s="1"/>
  <c r="F10" i="9" s="1"/>
  <c r="F10" i="10" s="1"/>
  <c r="F11" i="7"/>
  <c r="F11" i="8" s="1"/>
  <c r="F11" i="9" s="1"/>
  <c r="F11" i="10" s="1"/>
  <c r="F9" i="7"/>
  <c r="F9" i="8" s="1"/>
  <c r="F9" i="9" s="1"/>
  <c r="F9" i="10" s="1"/>
  <c r="O12" i="7"/>
  <c r="O12" i="8" s="1"/>
  <c r="O12" i="9" s="1"/>
  <c r="O12" i="10" s="1"/>
  <c r="I12" i="7"/>
  <c r="I12" i="8" s="1"/>
  <c r="I12" i="9" s="1"/>
  <c r="I12" i="10" s="1"/>
  <c r="I8" i="7"/>
  <c r="I8" i="8" s="1"/>
  <c r="I8" i="9" s="1"/>
  <c r="I8" i="10" s="1"/>
  <c r="I11" i="7"/>
  <c r="I11" i="8" s="1"/>
  <c r="I11" i="9" s="1"/>
  <c r="I11" i="10" s="1"/>
  <c r="K9" i="7"/>
  <c r="K9" i="8" s="1"/>
  <c r="K9" i="9" s="1"/>
  <c r="K9" i="10" s="1"/>
  <c r="N10" i="7"/>
  <c r="N10" i="8" s="1"/>
  <c r="N10" i="9" s="1"/>
  <c r="N10" i="10" s="1"/>
  <c r="K12" i="7"/>
  <c r="K12" i="8" s="1"/>
  <c r="K12" i="9" s="1"/>
  <c r="K12" i="10" s="1"/>
  <c r="H12" i="7"/>
  <c r="H12" i="8" s="1"/>
  <c r="H12" i="9" s="1"/>
  <c r="H12" i="10" s="1"/>
  <c r="K11" i="7"/>
  <c r="K11" i="8" s="1"/>
  <c r="K11" i="9" s="1"/>
  <c r="K11" i="10" s="1"/>
  <c r="H10" i="7"/>
  <c r="H10" i="8" s="1"/>
  <c r="H10" i="9" s="1"/>
  <c r="H10" i="10" s="1"/>
  <c r="Q5" i="7"/>
  <c r="K7" i="6"/>
  <c r="M12" i="7"/>
  <c r="M12" i="8" s="1"/>
  <c r="M12" i="9" s="1"/>
  <c r="M12" i="10" s="1"/>
  <c r="J8" i="7"/>
  <c r="J8" i="8" s="1"/>
  <c r="J8" i="9" s="1"/>
  <c r="J8" i="10" s="1"/>
  <c r="M11" i="7"/>
  <c r="M11" i="8" s="1"/>
  <c r="M11" i="9" s="1"/>
  <c r="M11" i="10" s="1"/>
  <c r="J12" i="7"/>
  <c r="J12" i="8" s="1"/>
  <c r="J12" i="9" s="1"/>
  <c r="J12" i="10" s="1"/>
  <c r="J9" i="7"/>
  <c r="J9" i="8" s="1"/>
  <c r="J9" i="9" s="1"/>
  <c r="J9" i="10" s="1"/>
  <c r="J11" i="7"/>
  <c r="J11" i="8" s="1"/>
  <c r="J11" i="9" s="1"/>
  <c r="J11" i="10" s="1"/>
  <c r="M10" i="7"/>
  <c r="M10" i="8" s="1"/>
  <c r="M10" i="9" s="1"/>
  <c r="M10" i="10" s="1"/>
  <c r="Q5" i="8"/>
  <c r="O10" i="7"/>
  <c r="O10" i="8" s="1"/>
  <c r="O10" i="9" s="1"/>
  <c r="O10" i="10" s="1"/>
  <c r="O8" i="7"/>
  <c r="O8" i="8" s="1"/>
  <c r="O8" i="9" s="1"/>
  <c r="O8" i="10" s="1"/>
  <c r="H8" i="7"/>
  <c r="H8" i="8" s="1"/>
  <c r="H8" i="9" s="1"/>
  <c r="H8" i="10" s="1"/>
  <c r="M9" i="7"/>
  <c r="M9" i="8" s="1"/>
  <c r="M9" i="9" s="1"/>
  <c r="M9" i="10" s="1"/>
  <c r="H11" i="7"/>
  <c r="H11" i="8" s="1"/>
  <c r="H11" i="9" s="1"/>
  <c r="H11" i="10" s="1"/>
  <c r="V56" i="9"/>
  <c r="U56" i="10"/>
  <c r="S56" i="10"/>
  <c r="G4" i="1"/>
  <c r="H4" i="1" s="1"/>
  <c r="I4" i="1" s="1"/>
  <c r="J4" i="1" s="1"/>
  <c r="K4" i="1" s="1"/>
  <c r="L4" i="1" s="1"/>
  <c r="M4" i="1" s="1"/>
  <c r="N4" i="1" s="1"/>
  <c r="O4" i="1" s="1"/>
  <c r="P4" i="1" s="1"/>
  <c r="N74" i="17" l="1"/>
  <c r="G214" i="18"/>
  <c r="F214" i="18" s="1"/>
  <c r="X34" i="4"/>
  <c r="E66" i="7"/>
  <c r="E66" i="8" s="1"/>
  <c r="E66" i="9" s="1"/>
  <c r="E66" i="10" s="1"/>
  <c r="G66" i="7"/>
  <c r="G66" i="8" s="1"/>
  <c r="G66" i="9" s="1"/>
  <c r="G66" i="10" s="1"/>
  <c r="H66" i="7"/>
  <c r="H66" i="8" s="1"/>
  <c r="H66" i="9" s="1"/>
  <c r="H66" i="10" s="1"/>
  <c r="I66" i="7"/>
  <c r="I66" i="8" s="1"/>
  <c r="I66" i="9" s="1"/>
  <c r="I66" i="10" s="1"/>
  <c r="J66" i="7"/>
  <c r="J66" i="8" s="1"/>
  <c r="J66" i="9" s="1"/>
  <c r="J66" i="10" s="1"/>
  <c r="K66" i="7"/>
  <c r="K66" i="8" s="1"/>
  <c r="K66" i="9" s="1"/>
  <c r="K66" i="10" s="1"/>
  <c r="M66" i="7"/>
  <c r="M66" i="8" s="1"/>
  <c r="M66" i="9" s="1"/>
  <c r="M66" i="10" s="1"/>
  <c r="N66" i="7"/>
  <c r="N66" i="8" s="1"/>
  <c r="N66" i="9" s="1"/>
  <c r="N66" i="10" s="1"/>
  <c r="O66" i="7"/>
  <c r="O66" i="8" s="1"/>
  <c r="O66" i="9" s="1"/>
  <c r="O66" i="10" s="1"/>
  <c r="X28" i="4"/>
  <c r="E65" i="7"/>
  <c r="E65" i="8" s="1"/>
  <c r="E65" i="9" s="1"/>
  <c r="E65" i="10" s="1"/>
  <c r="G65" i="7"/>
  <c r="G65" i="8" s="1"/>
  <c r="G65" i="9" s="1"/>
  <c r="G65" i="10" s="1"/>
  <c r="H65" i="7"/>
  <c r="H65" i="8" s="1"/>
  <c r="H65" i="9" s="1"/>
  <c r="H65" i="10" s="1"/>
  <c r="I65" i="7"/>
  <c r="I65" i="8" s="1"/>
  <c r="I65" i="9" s="1"/>
  <c r="I65" i="10" s="1"/>
  <c r="L65" i="7"/>
  <c r="L65" i="8" s="1"/>
  <c r="L65" i="9" s="1"/>
  <c r="L65" i="10" s="1"/>
  <c r="M65" i="7"/>
  <c r="M65" i="8" s="1"/>
  <c r="M65" i="9" s="1"/>
  <c r="M65" i="10" s="1"/>
  <c r="N65" i="7"/>
  <c r="N65" i="8" s="1"/>
  <c r="N65" i="9" s="1"/>
  <c r="N65" i="10" s="1"/>
  <c r="O65" i="7"/>
  <c r="O65" i="8" s="1"/>
  <c r="O65" i="9" s="1"/>
  <c r="O65" i="10" s="1"/>
  <c r="L8" i="7"/>
  <c r="L8" i="8" s="1"/>
  <c r="L8" i="9" s="1"/>
  <c r="L8" i="10" s="1"/>
  <c r="L12" i="7"/>
  <c r="L12" i="8" s="1"/>
  <c r="L12" i="9" s="1"/>
  <c r="L12" i="10" s="1"/>
  <c r="S12" i="1"/>
  <c r="X12" i="1" s="1"/>
  <c r="L10" i="7"/>
  <c r="L10" i="8" s="1"/>
  <c r="L10" i="9" s="1"/>
  <c r="L10" i="10" s="1"/>
  <c r="S10" i="1"/>
  <c r="X10" i="1" s="1"/>
  <c r="L11" i="7"/>
  <c r="L11" i="8" s="1"/>
  <c r="L11" i="9" s="1"/>
  <c r="L11" i="10" s="1"/>
  <c r="S11" i="10" s="1"/>
  <c r="S11" i="1"/>
  <c r="X11" i="1" s="1"/>
  <c r="S9" i="1"/>
  <c r="X9" i="1" s="1"/>
  <c r="P8" i="7"/>
  <c r="P8" i="8" s="1"/>
  <c r="P8" i="9" s="1"/>
  <c r="P8" i="10" s="1"/>
  <c r="P12" i="7"/>
  <c r="P12" i="8" s="1"/>
  <c r="P12" i="9" s="1"/>
  <c r="P12" i="10" s="1"/>
  <c r="P9" i="7"/>
  <c r="P9" i="8" s="1"/>
  <c r="P9" i="9" s="1"/>
  <c r="P9" i="10" s="1"/>
  <c r="S9" i="10" s="1"/>
  <c r="P10" i="7"/>
  <c r="P10" i="8" s="1"/>
  <c r="P10" i="9" s="1"/>
  <c r="P10" i="10" s="1"/>
  <c r="O99" i="7"/>
  <c r="O99" i="8" s="1"/>
  <c r="O99" i="9" s="1"/>
  <c r="O99" i="10" s="1"/>
  <c r="F99" i="17"/>
  <c r="N79" i="7"/>
  <c r="N79" i="8" s="1"/>
  <c r="N79" i="9" s="1"/>
  <c r="N79" i="10" s="1"/>
  <c r="M79" i="7"/>
  <c r="M79" i="8" s="1"/>
  <c r="M79" i="9" s="1"/>
  <c r="M79" i="10" s="1"/>
  <c r="L79" i="7"/>
  <c r="L79" i="8" s="1"/>
  <c r="L79" i="9" s="1"/>
  <c r="L79" i="10" s="1"/>
  <c r="K79" i="7"/>
  <c r="K79" i="8" s="1"/>
  <c r="K79" i="9" s="1"/>
  <c r="K79" i="10" s="1"/>
  <c r="J79" i="7"/>
  <c r="J79" i="8" s="1"/>
  <c r="J79" i="9" s="1"/>
  <c r="J79" i="10" s="1"/>
  <c r="I79" i="7"/>
  <c r="I79" i="8" s="1"/>
  <c r="I79" i="9" s="1"/>
  <c r="I79" i="10" s="1"/>
  <c r="E79" i="7"/>
  <c r="E79" i="8" s="1"/>
  <c r="E79" i="9" s="1"/>
  <c r="E79" i="10" s="1"/>
  <c r="H79" i="7"/>
  <c r="H79" i="8" s="1"/>
  <c r="H79" i="9" s="1"/>
  <c r="H79" i="10" s="1"/>
  <c r="G79" i="7"/>
  <c r="G79" i="8" s="1"/>
  <c r="G79" i="9" s="1"/>
  <c r="G79" i="10" s="1"/>
  <c r="F79" i="7"/>
  <c r="F79" i="8" s="1"/>
  <c r="F79" i="9" s="1"/>
  <c r="F79" i="10" s="1"/>
  <c r="O79" i="7"/>
  <c r="O79" i="8" s="1"/>
  <c r="O79" i="9" s="1"/>
  <c r="O79" i="10" s="1"/>
  <c r="K65" i="7"/>
  <c r="K65" i="8" s="1"/>
  <c r="K65" i="9" s="1"/>
  <c r="K65" i="10" s="1"/>
  <c r="J65" i="7"/>
  <c r="J65" i="8" s="1"/>
  <c r="J65" i="9" s="1"/>
  <c r="J65" i="10" s="1"/>
  <c r="F66" i="7"/>
  <c r="F66" i="8" s="1"/>
  <c r="F66" i="9" s="1"/>
  <c r="F66" i="10" s="1"/>
  <c r="L91" i="7"/>
  <c r="L91" i="8" s="1"/>
  <c r="L91" i="9" s="1"/>
  <c r="L91" i="10" s="1"/>
  <c r="K91" i="7"/>
  <c r="K91" i="8" s="1"/>
  <c r="K91" i="9" s="1"/>
  <c r="K91" i="10" s="1"/>
  <c r="N91" i="7"/>
  <c r="N91" i="8" s="1"/>
  <c r="N91" i="9" s="1"/>
  <c r="N91" i="10" s="1"/>
  <c r="J91" i="7"/>
  <c r="J91" i="8" s="1"/>
  <c r="J91" i="9" s="1"/>
  <c r="J91" i="10" s="1"/>
  <c r="M91" i="7"/>
  <c r="M91" i="8" s="1"/>
  <c r="M91" i="9" s="1"/>
  <c r="M91" i="10" s="1"/>
  <c r="I91" i="7"/>
  <c r="I91" i="8" s="1"/>
  <c r="I91" i="9" s="1"/>
  <c r="I91" i="10" s="1"/>
  <c r="H91" i="7"/>
  <c r="H91" i="8" s="1"/>
  <c r="H91" i="9" s="1"/>
  <c r="H91" i="10" s="1"/>
  <c r="G91" i="7"/>
  <c r="G91" i="8" s="1"/>
  <c r="G91" i="9" s="1"/>
  <c r="G91" i="10" s="1"/>
  <c r="F91" i="7"/>
  <c r="F91" i="8" s="1"/>
  <c r="F91" i="9" s="1"/>
  <c r="F91" i="10" s="1"/>
  <c r="O91" i="7"/>
  <c r="O91" i="8" s="1"/>
  <c r="O91" i="9" s="1"/>
  <c r="O91" i="10" s="1"/>
  <c r="F102" i="7"/>
  <c r="F102" i="8" s="1"/>
  <c r="F102" i="9" s="1"/>
  <c r="F102" i="10" s="1"/>
  <c r="E102" i="7"/>
  <c r="E102" i="8" s="1"/>
  <c r="E102" i="9" s="1"/>
  <c r="E102" i="10" s="1"/>
  <c r="H102" i="7"/>
  <c r="H102" i="8" s="1"/>
  <c r="H102" i="9" s="1"/>
  <c r="H102" i="10" s="1"/>
  <c r="O102" i="7"/>
  <c r="O102" i="8" s="1"/>
  <c r="O102" i="9" s="1"/>
  <c r="O102" i="10" s="1"/>
  <c r="N102" i="7"/>
  <c r="N102" i="8" s="1"/>
  <c r="N102" i="9" s="1"/>
  <c r="N102" i="10" s="1"/>
  <c r="M102" i="7"/>
  <c r="M102" i="8" s="1"/>
  <c r="M102" i="9" s="1"/>
  <c r="M102" i="10" s="1"/>
  <c r="L102" i="7"/>
  <c r="L102" i="8" s="1"/>
  <c r="L102" i="9" s="1"/>
  <c r="L102" i="10" s="1"/>
  <c r="G102" i="7"/>
  <c r="G102" i="8" s="1"/>
  <c r="G102" i="9" s="1"/>
  <c r="G102" i="10" s="1"/>
  <c r="K102" i="7"/>
  <c r="K102" i="8" s="1"/>
  <c r="K102" i="9" s="1"/>
  <c r="K102" i="10" s="1"/>
  <c r="J102" i="7"/>
  <c r="J102" i="8" s="1"/>
  <c r="J102" i="9" s="1"/>
  <c r="J102" i="10" s="1"/>
  <c r="I102" i="7"/>
  <c r="I102" i="8" s="1"/>
  <c r="I102" i="9" s="1"/>
  <c r="I102" i="10" s="1"/>
  <c r="G86" i="7"/>
  <c r="G86" i="8" s="1"/>
  <c r="G86" i="9" s="1"/>
  <c r="G86" i="10" s="1"/>
  <c r="E86" i="7"/>
  <c r="E86" i="8" s="1"/>
  <c r="E86" i="9" s="1"/>
  <c r="E86" i="10" s="1"/>
  <c r="F86" i="7"/>
  <c r="F86" i="8" s="1"/>
  <c r="F86" i="9" s="1"/>
  <c r="F86" i="10" s="1"/>
  <c r="H86" i="7"/>
  <c r="H86" i="8" s="1"/>
  <c r="H86" i="9" s="1"/>
  <c r="H86" i="10" s="1"/>
  <c r="O86" i="7"/>
  <c r="O86" i="8" s="1"/>
  <c r="O86" i="9" s="1"/>
  <c r="O86" i="10" s="1"/>
  <c r="N86" i="7"/>
  <c r="N86" i="8" s="1"/>
  <c r="N86" i="9" s="1"/>
  <c r="N86" i="10" s="1"/>
  <c r="M86" i="7"/>
  <c r="M86" i="8" s="1"/>
  <c r="M86" i="9" s="1"/>
  <c r="M86" i="10" s="1"/>
  <c r="L86" i="7"/>
  <c r="L86" i="8" s="1"/>
  <c r="L86" i="9" s="1"/>
  <c r="L86" i="10" s="1"/>
  <c r="K86" i="7"/>
  <c r="K86" i="8" s="1"/>
  <c r="K86" i="9" s="1"/>
  <c r="K86" i="10" s="1"/>
  <c r="J86" i="7"/>
  <c r="J86" i="8" s="1"/>
  <c r="J86" i="9" s="1"/>
  <c r="J86" i="10" s="1"/>
  <c r="I86" i="7"/>
  <c r="I86" i="8" s="1"/>
  <c r="I86" i="9" s="1"/>
  <c r="I86" i="10" s="1"/>
  <c r="H71" i="7"/>
  <c r="H71" i="8" s="1"/>
  <c r="H71" i="9" s="1"/>
  <c r="H71" i="10" s="1"/>
  <c r="G71" i="7"/>
  <c r="G71" i="8" s="1"/>
  <c r="G71" i="9" s="1"/>
  <c r="G71" i="10" s="1"/>
  <c r="J71" i="7"/>
  <c r="J71" i="8" s="1"/>
  <c r="J71" i="9" s="1"/>
  <c r="J71" i="10" s="1"/>
  <c r="F71" i="7"/>
  <c r="F71" i="8" s="1"/>
  <c r="F71" i="9" s="1"/>
  <c r="F71" i="10" s="1"/>
  <c r="O71" i="7"/>
  <c r="O71" i="8" s="1"/>
  <c r="O71" i="9" s="1"/>
  <c r="O71" i="10" s="1"/>
  <c r="E71" i="7"/>
  <c r="E71" i="8" s="1"/>
  <c r="E71" i="9" s="1"/>
  <c r="E71" i="10" s="1"/>
  <c r="N71" i="7"/>
  <c r="N71" i="8" s="1"/>
  <c r="N71" i="9" s="1"/>
  <c r="N71" i="10" s="1"/>
  <c r="M71" i="7"/>
  <c r="M71" i="8" s="1"/>
  <c r="M71" i="9" s="1"/>
  <c r="M71" i="10" s="1"/>
  <c r="L71" i="7"/>
  <c r="L71" i="8" s="1"/>
  <c r="L71" i="9" s="1"/>
  <c r="L71" i="10" s="1"/>
  <c r="I71" i="7"/>
  <c r="I71" i="8" s="1"/>
  <c r="I71" i="9" s="1"/>
  <c r="I71" i="10" s="1"/>
  <c r="K71" i="7"/>
  <c r="K71" i="8" s="1"/>
  <c r="K71" i="9" s="1"/>
  <c r="K71" i="10" s="1"/>
  <c r="O82" i="7"/>
  <c r="O82" i="8" s="1"/>
  <c r="O82" i="9" s="1"/>
  <c r="O82" i="10" s="1"/>
  <c r="N82" i="7"/>
  <c r="N82" i="8" s="1"/>
  <c r="N82" i="9" s="1"/>
  <c r="N82" i="10" s="1"/>
  <c r="M82" i="7"/>
  <c r="M82" i="8" s="1"/>
  <c r="M82" i="9" s="1"/>
  <c r="M82" i="10" s="1"/>
  <c r="L82" i="7"/>
  <c r="L82" i="8" s="1"/>
  <c r="L82" i="9" s="1"/>
  <c r="L82" i="10" s="1"/>
  <c r="K82" i="7"/>
  <c r="K82" i="8" s="1"/>
  <c r="K82" i="9" s="1"/>
  <c r="K82" i="10" s="1"/>
  <c r="E82" i="7"/>
  <c r="E82" i="8" s="1"/>
  <c r="E82" i="9" s="1"/>
  <c r="E82" i="10" s="1"/>
  <c r="J82" i="7"/>
  <c r="J82" i="8" s="1"/>
  <c r="J82" i="9" s="1"/>
  <c r="J82" i="10" s="1"/>
  <c r="I82" i="7"/>
  <c r="I82" i="8" s="1"/>
  <c r="I82" i="9" s="1"/>
  <c r="I82" i="10" s="1"/>
  <c r="H82" i="7"/>
  <c r="H82" i="8" s="1"/>
  <c r="H82" i="9" s="1"/>
  <c r="H82" i="10" s="1"/>
  <c r="G82" i="7"/>
  <c r="G82" i="8" s="1"/>
  <c r="G82" i="9" s="1"/>
  <c r="G82" i="10" s="1"/>
  <c r="F82" i="7"/>
  <c r="F82" i="8" s="1"/>
  <c r="F82" i="9" s="1"/>
  <c r="F82" i="10" s="1"/>
  <c r="I72" i="7"/>
  <c r="I72" i="8" s="1"/>
  <c r="I72" i="9" s="1"/>
  <c r="I72" i="10" s="1"/>
  <c r="E72" i="7"/>
  <c r="E72" i="8" s="1"/>
  <c r="E72" i="9" s="1"/>
  <c r="E72" i="10" s="1"/>
  <c r="H72" i="7"/>
  <c r="H72" i="8" s="1"/>
  <c r="H72" i="9" s="1"/>
  <c r="H72" i="10" s="1"/>
  <c r="G72" i="7"/>
  <c r="G72" i="8" s="1"/>
  <c r="G72" i="9" s="1"/>
  <c r="G72" i="10" s="1"/>
  <c r="F72" i="7"/>
  <c r="F72" i="8" s="1"/>
  <c r="F72" i="9" s="1"/>
  <c r="F72" i="10" s="1"/>
  <c r="K72" i="7"/>
  <c r="K72" i="8" s="1"/>
  <c r="K72" i="9" s="1"/>
  <c r="K72" i="10" s="1"/>
  <c r="J72" i="7"/>
  <c r="J72" i="8" s="1"/>
  <c r="J72" i="9" s="1"/>
  <c r="J72" i="10" s="1"/>
  <c r="O72" i="7"/>
  <c r="O72" i="8" s="1"/>
  <c r="O72" i="9" s="1"/>
  <c r="O72" i="10" s="1"/>
  <c r="N72" i="7"/>
  <c r="N72" i="8" s="1"/>
  <c r="N72" i="9" s="1"/>
  <c r="N72" i="10" s="1"/>
  <c r="M72" i="7"/>
  <c r="M72" i="8" s="1"/>
  <c r="M72" i="9" s="1"/>
  <c r="M72" i="10" s="1"/>
  <c r="L72" i="7"/>
  <c r="L72" i="8" s="1"/>
  <c r="L72" i="9" s="1"/>
  <c r="L72" i="10" s="1"/>
  <c r="O97" i="7"/>
  <c r="O97" i="8" s="1"/>
  <c r="O97" i="9" s="1"/>
  <c r="O97" i="10" s="1"/>
  <c r="N97" i="7"/>
  <c r="N97" i="8" s="1"/>
  <c r="N97" i="9" s="1"/>
  <c r="N97" i="10" s="1"/>
  <c r="M97" i="7"/>
  <c r="M97" i="8" s="1"/>
  <c r="M97" i="9" s="1"/>
  <c r="M97" i="10" s="1"/>
  <c r="L97" i="7"/>
  <c r="L97" i="8" s="1"/>
  <c r="L97" i="9" s="1"/>
  <c r="L97" i="10" s="1"/>
  <c r="K97" i="7"/>
  <c r="K97" i="8" s="1"/>
  <c r="K97" i="9" s="1"/>
  <c r="K97" i="10" s="1"/>
  <c r="E97" i="7"/>
  <c r="E97" i="8" s="1"/>
  <c r="E97" i="9" s="1"/>
  <c r="E97" i="10" s="1"/>
  <c r="J97" i="7"/>
  <c r="J97" i="8" s="1"/>
  <c r="J97" i="9" s="1"/>
  <c r="J97" i="10" s="1"/>
  <c r="I97" i="7"/>
  <c r="I97" i="8" s="1"/>
  <c r="I97" i="9" s="1"/>
  <c r="I97" i="10" s="1"/>
  <c r="H97" i="7"/>
  <c r="H97" i="8" s="1"/>
  <c r="H97" i="9" s="1"/>
  <c r="H97" i="10" s="1"/>
  <c r="G97" i="7"/>
  <c r="G97" i="8" s="1"/>
  <c r="G97" i="9" s="1"/>
  <c r="G97" i="10" s="1"/>
  <c r="F97" i="7"/>
  <c r="F97" i="8" s="1"/>
  <c r="F97" i="9" s="1"/>
  <c r="F97" i="10" s="1"/>
  <c r="N96" i="7"/>
  <c r="N96" i="8" s="1"/>
  <c r="N96" i="9" s="1"/>
  <c r="N96" i="10" s="1"/>
  <c r="M96" i="7"/>
  <c r="M96" i="8" s="1"/>
  <c r="M96" i="9" s="1"/>
  <c r="M96" i="10" s="1"/>
  <c r="L96" i="7"/>
  <c r="L96" i="8" s="1"/>
  <c r="L96" i="9" s="1"/>
  <c r="L96" i="10" s="1"/>
  <c r="K96" i="7"/>
  <c r="K96" i="8" s="1"/>
  <c r="K96" i="9" s="1"/>
  <c r="K96" i="10" s="1"/>
  <c r="J96" i="7"/>
  <c r="J96" i="8" s="1"/>
  <c r="J96" i="9" s="1"/>
  <c r="J96" i="10" s="1"/>
  <c r="I96" i="7"/>
  <c r="I96" i="8" s="1"/>
  <c r="I96" i="9" s="1"/>
  <c r="I96" i="10" s="1"/>
  <c r="E96" i="7"/>
  <c r="E96" i="8" s="1"/>
  <c r="E96" i="9" s="1"/>
  <c r="E96" i="10" s="1"/>
  <c r="H96" i="7"/>
  <c r="H96" i="8" s="1"/>
  <c r="H96" i="9" s="1"/>
  <c r="H96" i="10" s="1"/>
  <c r="G96" i="7"/>
  <c r="G96" i="8" s="1"/>
  <c r="G96" i="9" s="1"/>
  <c r="G96" i="10" s="1"/>
  <c r="F96" i="7"/>
  <c r="F96" i="8" s="1"/>
  <c r="F96" i="9" s="1"/>
  <c r="F96" i="10" s="1"/>
  <c r="O96" i="7"/>
  <c r="O96" i="8" s="1"/>
  <c r="O96" i="9" s="1"/>
  <c r="O96" i="10" s="1"/>
  <c r="H87" i="7"/>
  <c r="H87" i="8" s="1"/>
  <c r="H87" i="9" s="1"/>
  <c r="H87" i="10" s="1"/>
  <c r="G87" i="7"/>
  <c r="G87" i="8" s="1"/>
  <c r="G87" i="9" s="1"/>
  <c r="G87" i="10" s="1"/>
  <c r="F87" i="7"/>
  <c r="F87" i="8" s="1"/>
  <c r="F87" i="9" s="1"/>
  <c r="F87" i="10" s="1"/>
  <c r="J87" i="7"/>
  <c r="J87" i="8" s="1"/>
  <c r="J87" i="9" s="1"/>
  <c r="J87" i="10" s="1"/>
  <c r="O87" i="7"/>
  <c r="O87" i="8" s="1"/>
  <c r="O87" i="9" s="1"/>
  <c r="O87" i="10" s="1"/>
  <c r="I87" i="7"/>
  <c r="I87" i="8" s="1"/>
  <c r="I87" i="9" s="1"/>
  <c r="I87" i="10" s="1"/>
  <c r="N87" i="7"/>
  <c r="N87" i="8" s="1"/>
  <c r="N87" i="9" s="1"/>
  <c r="N87" i="10" s="1"/>
  <c r="M87" i="7"/>
  <c r="M87" i="8" s="1"/>
  <c r="M87" i="9" s="1"/>
  <c r="M87" i="10" s="1"/>
  <c r="L87" i="7"/>
  <c r="L87" i="8" s="1"/>
  <c r="L87" i="9" s="1"/>
  <c r="L87" i="10" s="1"/>
  <c r="K87" i="7"/>
  <c r="K87" i="8" s="1"/>
  <c r="K87" i="9" s="1"/>
  <c r="K87" i="10" s="1"/>
  <c r="E87" i="7"/>
  <c r="E87" i="8" s="1"/>
  <c r="E87" i="9" s="1"/>
  <c r="E87" i="10" s="1"/>
  <c r="I17" i="5"/>
  <c r="K76" i="7"/>
  <c r="K76" i="8" s="1"/>
  <c r="K76" i="9" s="1"/>
  <c r="K76" i="10" s="1"/>
  <c r="J76" i="7"/>
  <c r="J76" i="8" s="1"/>
  <c r="J76" i="9" s="1"/>
  <c r="J76" i="10" s="1"/>
  <c r="I76" i="7"/>
  <c r="I76" i="8" s="1"/>
  <c r="I76" i="9" s="1"/>
  <c r="I76" i="10" s="1"/>
  <c r="H76" i="7"/>
  <c r="H76" i="8" s="1"/>
  <c r="H76" i="9" s="1"/>
  <c r="H76" i="10" s="1"/>
  <c r="G76" i="7"/>
  <c r="G76" i="8" s="1"/>
  <c r="G76" i="9" s="1"/>
  <c r="G76" i="10" s="1"/>
  <c r="F76" i="7"/>
  <c r="F76" i="8" s="1"/>
  <c r="F76" i="9" s="1"/>
  <c r="F76" i="10" s="1"/>
  <c r="M76" i="7"/>
  <c r="M76" i="8" s="1"/>
  <c r="M76" i="9" s="1"/>
  <c r="M76" i="10" s="1"/>
  <c r="L76" i="7"/>
  <c r="L76" i="8" s="1"/>
  <c r="L76" i="9" s="1"/>
  <c r="L76" i="10" s="1"/>
  <c r="O76" i="7"/>
  <c r="O76" i="8" s="1"/>
  <c r="O76" i="9" s="1"/>
  <c r="O76" i="10" s="1"/>
  <c r="E76" i="7"/>
  <c r="E76" i="8" s="1"/>
  <c r="E76" i="9" s="1"/>
  <c r="E76" i="10" s="1"/>
  <c r="N76" i="7"/>
  <c r="N76" i="8" s="1"/>
  <c r="N76" i="9" s="1"/>
  <c r="N76" i="10" s="1"/>
  <c r="O101" i="7"/>
  <c r="O101" i="8" s="1"/>
  <c r="O101" i="9" s="1"/>
  <c r="O101" i="10" s="1"/>
  <c r="E101" i="7"/>
  <c r="E101" i="8" s="1"/>
  <c r="E101" i="9" s="1"/>
  <c r="E101" i="10" s="1"/>
  <c r="N101" i="7"/>
  <c r="N101" i="8" s="1"/>
  <c r="N101" i="9" s="1"/>
  <c r="N101" i="10" s="1"/>
  <c r="F101" i="7"/>
  <c r="F101" i="8" s="1"/>
  <c r="F101" i="9" s="1"/>
  <c r="F101" i="10" s="1"/>
  <c r="M101" i="7"/>
  <c r="M101" i="8" s="1"/>
  <c r="M101" i="9" s="1"/>
  <c r="M101" i="10" s="1"/>
  <c r="L101" i="7"/>
  <c r="L101" i="8" s="1"/>
  <c r="L101" i="9" s="1"/>
  <c r="L101" i="10" s="1"/>
  <c r="K101" i="7"/>
  <c r="K101" i="8" s="1"/>
  <c r="K101" i="9" s="1"/>
  <c r="K101" i="10" s="1"/>
  <c r="J101" i="7"/>
  <c r="J101" i="8" s="1"/>
  <c r="J101" i="9" s="1"/>
  <c r="J101" i="10" s="1"/>
  <c r="G101" i="7"/>
  <c r="G101" i="8" s="1"/>
  <c r="G101" i="9" s="1"/>
  <c r="G101" i="10" s="1"/>
  <c r="I101" i="7"/>
  <c r="I101" i="8" s="1"/>
  <c r="I101" i="9" s="1"/>
  <c r="I101" i="10" s="1"/>
  <c r="H101" i="7"/>
  <c r="H101" i="8" s="1"/>
  <c r="H101" i="9" s="1"/>
  <c r="H101" i="10" s="1"/>
  <c r="L17" i="5"/>
  <c r="F17" i="5"/>
  <c r="O17" i="5"/>
  <c r="L77" i="7"/>
  <c r="L77" i="8" s="1"/>
  <c r="L77" i="9" s="1"/>
  <c r="L77" i="10" s="1"/>
  <c r="K77" i="7"/>
  <c r="K77" i="8" s="1"/>
  <c r="K77" i="9" s="1"/>
  <c r="K77" i="10" s="1"/>
  <c r="J77" i="7"/>
  <c r="J77" i="8" s="1"/>
  <c r="J77" i="9" s="1"/>
  <c r="J77" i="10" s="1"/>
  <c r="I77" i="7"/>
  <c r="I77" i="8" s="1"/>
  <c r="I77" i="9" s="1"/>
  <c r="I77" i="10" s="1"/>
  <c r="M77" i="7"/>
  <c r="M77" i="8" s="1"/>
  <c r="M77" i="9" s="1"/>
  <c r="M77" i="10" s="1"/>
  <c r="H77" i="7"/>
  <c r="H77" i="8" s="1"/>
  <c r="H77" i="9" s="1"/>
  <c r="H77" i="10" s="1"/>
  <c r="G77" i="7"/>
  <c r="G77" i="8" s="1"/>
  <c r="G77" i="9" s="1"/>
  <c r="G77" i="10" s="1"/>
  <c r="F77" i="7"/>
  <c r="F77" i="8" s="1"/>
  <c r="F77" i="9" s="1"/>
  <c r="F77" i="10" s="1"/>
  <c r="E77" i="7"/>
  <c r="E77" i="8" s="1"/>
  <c r="E77" i="9" s="1"/>
  <c r="E77" i="10" s="1"/>
  <c r="N77" i="7"/>
  <c r="N77" i="8" s="1"/>
  <c r="N77" i="9" s="1"/>
  <c r="N77" i="10" s="1"/>
  <c r="O77" i="7"/>
  <c r="O77" i="8" s="1"/>
  <c r="O77" i="9" s="1"/>
  <c r="O77" i="10" s="1"/>
  <c r="K90" i="7"/>
  <c r="K90" i="8" s="1"/>
  <c r="K90" i="9" s="1"/>
  <c r="K90" i="10" s="1"/>
  <c r="M90" i="7"/>
  <c r="M90" i="8" s="1"/>
  <c r="M90" i="9" s="1"/>
  <c r="M90" i="10" s="1"/>
  <c r="J90" i="7"/>
  <c r="J90" i="8" s="1"/>
  <c r="J90" i="9" s="1"/>
  <c r="J90" i="10" s="1"/>
  <c r="I90" i="7"/>
  <c r="I90" i="8" s="1"/>
  <c r="I90" i="9" s="1"/>
  <c r="I90" i="10" s="1"/>
  <c r="H90" i="7"/>
  <c r="H90" i="8" s="1"/>
  <c r="H90" i="9" s="1"/>
  <c r="H90" i="10" s="1"/>
  <c r="G90" i="7"/>
  <c r="G90" i="8" s="1"/>
  <c r="G90" i="9" s="1"/>
  <c r="G90" i="10" s="1"/>
  <c r="F90" i="7"/>
  <c r="F90" i="8" s="1"/>
  <c r="F90" i="9" s="1"/>
  <c r="F90" i="10" s="1"/>
  <c r="O90" i="7"/>
  <c r="O90" i="8" s="1"/>
  <c r="O90" i="9" s="1"/>
  <c r="O90" i="10" s="1"/>
  <c r="E90" i="7"/>
  <c r="E90" i="8" s="1"/>
  <c r="E90" i="9" s="1"/>
  <c r="E90" i="10" s="1"/>
  <c r="L90" i="7"/>
  <c r="L90" i="8" s="1"/>
  <c r="L90" i="9" s="1"/>
  <c r="L90" i="10" s="1"/>
  <c r="N90" i="7"/>
  <c r="N90" i="8" s="1"/>
  <c r="N90" i="9" s="1"/>
  <c r="N90" i="10" s="1"/>
  <c r="L92" i="7"/>
  <c r="L92" i="8" s="1"/>
  <c r="L92" i="9" s="1"/>
  <c r="L92" i="10" s="1"/>
  <c r="H92" i="7"/>
  <c r="H92" i="8" s="1"/>
  <c r="H92" i="9" s="1"/>
  <c r="H92" i="10" s="1"/>
  <c r="F100" i="17"/>
  <c r="F100" i="7"/>
  <c r="F100" i="8" s="1"/>
  <c r="F100" i="9" s="1"/>
  <c r="F100" i="10" s="1"/>
  <c r="E100" i="7"/>
  <c r="E100" i="8" s="1"/>
  <c r="E100" i="9" s="1"/>
  <c r="E100" i="10" s="1"/>
  <c r="O100" i="7"/>
  <c r="O100" i="8" s="1"/>
  <c r="O100" i="9" s="1"/>
  <c r="O100" i="10" s="1"/>
  <c r="N100" i="7"/>
  <c r="N100" i="8" s="1"/>
  <c r="N100" i="9" s="1"/>
  <c r="N100" i="10" s="1"/>
  <c r="M100" i="7"/>
  <c r="M100" i="8" s="1"/>
  <c r="M100" i="9" s="1"/>
  <c r="M100" i="10" s="1"/>
  <c r="L100" i="7"/>
  <c r="L100" i="8" s="1"/>
  <c r="L100" i="9" s="1"/>
  <c r="L100" i="10" s="1"/>
  <c r="K100" i="7"/>
  <c r="K100" i="8" s="1"/>
  <c r="K100" i="9" s="1"/>
  <c r="K100" i="10" s="1"/>
  <c r="J100" i="7"/>
  <c r="J100" i="8" s="1"/>
  <c r="J100" i="9" s="1"/>
  <c r="J100" i="10" s="1"/>
  <c r="I100" i="7"/>
  <c r="I100" i="8" s="1"/>
  <c r="I100" i="9" s="1"/>
  <c r="I100" i="10" s="1"/>
  <c r="H100" i="7"/>
  <c r="H100" i="8" s="1"/>
  <c r="H100" i="9" s="1"/>
  <c r="H100" i="10" s="1"/>
  <c r="G100" i="7"/>
  <c r="G100" i="8" s="1"/>
  <c r="G100" i="9" s="1"/>
  <c r="G100" i="10" s="1"/>
  <c r="Z282" i="4"/>
  <c r="P17" i="1"/>
  <c r="P17" i="5"/>
  <c r="E13" i="7"/>
  <c r="Z346" i="4"/>
  <c r="AP91" i="17"/>
  <c r="E13" i="8"/>
  <c r="Z107" i="4"/>
  <c r="P115" i="17"/>
  <c r="P117" i="17" s="1"/>
  <c r="S68" i="1"/>
  <c r="K122" i="1"/>
  <c r="E122" i="1"/>
  <c r="S112" i="1"/>
  <c r="X112" i="1" s="1"/>
  <c r="N122" i="1"/>
  <c r="L122" i="1"/>
  <c r="P122" i="1"/>
  <c r="O122" i="1"/>
  <c r="F122" i="1"/>
  <c r="I122" i="1"/>
  <c r="H122" i="1"/>
  <c r="G122" i="1"/>
  <c r="U113" i="1"/>
  <c r="S111" i="1"/>
  <c r="X111" i="1" s="1"/>
  <c r="M122" i="1"/>
  <c r="F94" i="17"/>
  <c r="AP92" i="17"/>
  <c r="P113" i="1"/>
  <c r="J122" i="1"/>
  <c r="Z103" i="17"/>
  <c r="Z115" i="17" s="1"/>
  <c r="Z117" i="17" s="1"/>
  <c r="Z275" i="4"/>
  <c r="Z380" i="4"/>
  <c r="Z187" i="4"/>
  <c r="Z219" i="4"/>
  <c r="Z372" i="4"/>
  <c r="Z148" i="4"/>
  <c r="Z320" i="4"/>
  <c r="Z213" i="4"/>
  <c r="Z268" i="4"/>
  <c r="Z125" i="4"/>
  <c r="N103" i="17"/>
  <c r="AP78" i="17"/>
  <c r="AP96" i="17"/>
  <c r="V80" i="17"/>
  <c r="V115" i="17" s="1"/>
  <c r="V117" i="17" s="1"/>
  <c r="AP76" i="17"/>
  <c r="U80" i="17"/>
  <c r="U115" i="17" s="1"/>
  <c r="U117" i="17" s="1"/>
  <c r="AP79" i="17"/>
  <c r="F80" i="17"/>
  <c r="AP102" i="17"/>
  <c r="AP101" i="17"/>
  <c r="AP97" i="17"/>
  <c r="AP90" i="17"/>
  <c r="AP87" i="17"/>
  <c r="AP86" i="17"/>
  <c r="AP82" i="17"/>
  <c r="S98" i="1"/>
  <c r="AP77" i="17"/>
  <c r="AP72" i="17"/>
  <c r="AP71" i="17"/>
  <c r="AP66" i="17"/>
  <c r="J13" i="7"/>
  <c r="E80" i="17"/>
  <c r="Z118" i="4"/>
  <c r="E103" i="17"/>
  <c r="S83" i="1"/>
  <c r="E94" i="17"/>
  <c r="E109" i="17"/>
  <c r="AP70" i="17"/>
  <c r="O106" i="5"/>
  <c r="Z156" i="4"/>
  <c r="K106" i="5"/>
  <c r="Z179" i="4"/>
  <c r="Z34" i="4"/>
  <c r="Z326" i="4"/>
  <c r="Z164" i="4"/>
  <c r="Z28" i="4"/>
  <c r="I13" i="7"/>
  <c r="N13" i="8"/>
  <c r="J106" i="5"/>
  <c r="P106" i="5"/>
  <c r="L106" i="5"/>
  <c r="M106" i="5"/>
  <c r="F106" i="5"/>
  <c r="O13" i="7"/>
  <c r="J13" i="8"/>
  <c r="H13" i="8"/>
  <c r="N106" i="5"/>
  <c r="P13" i="1"/>
  <c r="F13" i="8"/>
  <c r="G13" i="8"/>
  <c r="H13" i="7"/>
  <c r="K13" i="7"/>
  <c r="N13" i="7"/>
  <c r="I13" i="8"/>
  <c r="M13" i="8"/>
  <c r="N25" i="8"/>
  <c r="F25" i="8"/>
  <c r="I25" i="8"/>
  <c r="K25" i="8"/>
  <c r="G31" i="6"/>
  <c r="P25" i="8"/>
  <c r="O25" i="8"/>
  <c r="H25" i="8"/>
  <c r="M25" i="8"/>
  <c r="G25" i="8"/>
  <c r="J25" i="8"/>
  <c r="L25" i="8"/>
  <c r="O13" i="8"/>
  <c r="F13" i="7"/>
  <c r="E13" i="9"/>
  <c r="G13" i="7"/>
  <c r="M13" i="9"/>
  <c r="M13" i="7"/>
  <c r="K13" i="8"/>
  <c r="F13" i="9"/>
  <c r="J13" i="9"/>
  <c r="Q5" i="9"/>
  <c r="M7" i="6"/>
  <c r="V56" i="10"/>
  <c r="S10" i="10" l="1"/>
  <c r="S12" i="10"/>
  <c r="S8" i="10"/>
  <c r="U66" i="1"/>
  <c r="U65" i="1"/>
  <c r="X113" i="1"/>
  <c r="E30" i="11"/>
  <c r="L13" i="7"/>
  <c r="L13" i="8"/>
  <c r="P13" i="8"/>
  <c r="P13" i="7"/>
  <c r="X68" i="1"/>
  <c r="X83" i="1"/>
  <c r="X98" i="1"/>
  <c r="X8" i="1"/>
  <c r="X13" i="1" s="1"/>
  <c r="S13" i="1"/>
  <c r="J14" i="11" s="1"/>
  <c r="AA8" i="1"/>
  <c r="P87" i="7"/>
  <c r="P87" i="8" s="1"/>
  <c r="P87" i="9" s="1"/>
  <c r="P87" i="10" s="1"/>
  <c r="P97" i="7"/>
  <c r="P97" i="8" s="1"/>
  <c r="P97" i="9" s="1"/>
  <c r="P97" i="10" s="1"/>
  <c r="P76" i="7"/>
  <c r="P76" i="8" s="1"/>
  <c r="P76" i="9" s="1"/>
  <c r="P76" i="10" s="1"/>
  <c r="X76" i="1"/>
  <c r="P102" i="7"/>
  <c r="P102" i="8" s="1"/>
  <c r="P102" i="9" s="1"/>
  <c r="P102" i="10" s="1"/>
  <c r="P72" i="7"/>
  <c r="P72" i="8" s="1"/>
  <c r="P72" i="9" s="1"/>
  <c r="P72" i="10" s="1"/>
  <c r="P90" i="7"/>
  <c r="P90" i="8" s="1"/>
  <c r="P90" i="9" s="1"/>
  <c r="P90" i="10" s="1"/>
  <c r="P86" i="7"/>
  <c r="P86" i="8" s="1"/>
  <c r="P86" i="9" s="1"/>
  <c r="P86" i="10" s="1"/>
  <c r="P96" i="7"/>
  <c r="P96" i="8" s="1"/>
  <c r="P96" i="9" s="1"/>
  <c r="P96" i="10" s="1"/>
  <c r="P91" i="7"/>
  <c r="P91" i="8" s="1"/>
  <c r="P91" i="9" s="1"/>
  <c r="P91" i="10" s="1"/>
  <c r="P71" i="7"/>
  <c r="P71" i="8" s="1"/>
  <c r="P71" i="9" s="1"/>
  <c r="P71" i="10" s="1"/>
  <c r="P82" i="7"/>
  <c r="P82" i="8" s="1"/>
  <c r="P82" i="9" s="1"/>
  <c r="P82" i="10" s="1"/>
  <c r="P101" i="7"/>
  <c r="P101" i="8" s="1"/>
  <c r="P101" i="9" s="1"/>
  <c r="P101" i="10" s="1"/>
  <c r="P100" i="7"/>
  <c r="P100" i="8" s="1"/>
  <c r="P100" i="9" s="1"/>
  <c r="P100" i="10" s="1"/>
  <c r="P66" i="7"/>
  <c r="P66" i="8" s="1"/>
  <c r="P66" i="9" s="1"/>
  <c r="P66" i="10" s="1"/>
  <c r="P77" i="7"/>
  <c r="P77" i="8" s="1"/>
  <c r="P77" i="9" s="1"/>
  <c r="P77" i="10" s="1"/>
  <c r="P79" i="7"/>
  <c r="P79" i="8" s="1"/>
  <c r="P79" i="9" s="1"/>
  <c r="P79" i="10" s="1"/>
  <c r="AD8" i="1"/>
  <c r="S8" i="7"/>
  <c r="U8" i="8" s="1"/>
  <c r="F65" i="7"/>
  <c r="F65" i="8" s="1"/>
  <c r="F65" i="9" s="1"/>
  <c r="F65" i="10" s="1"/>
  <c r="P65" i="7"/>
  <c r="P65" i="8" s="1"/>
  <c r="P65" i="9" s="1"/>
  <c r="P65" i="10" s="1"/>
  <c r="L66" i="7"/>
  <c r="L66" i="8" s="1"/>
  <c r="L66" i="9" s="1"/>
  <c r="L66" i="10" s="1"/>
  <c r="S9" i="8"/>
  <c r="U9" i="9" s="1"/>
  <c r="S9" i="7"/>
  <c r="U9" i="8" s="1"/>
  <c r="S90" i="1"/>
  <c r="E109" i="5"/>
  <c r="S91" i="1"/>
  <c r="S92" i="1"/>
  <c r="X92" i="1" s="1"/>
  <c r="N109" i="5"/>
  <c r="Z339" i="4"/>
  <c r="N99" i="7"/>
  <c r="N99" i="8" s="1"/>
  <c r="N99" i="9" s="1"/>
  <c r="N99" i="10" s="1"/>
  <c r="G99" i="7"/>
  <c r="G99" i="8" s="1"/>
  <c r="G99" i="9" s="1"/>
  <c r="G99" i="10" s="1"/>
  <c r="I99" i="7"/>
  <c r="I99" i="8" s="1"/>
  <c r="I99" i="9" s="1"/>
  <c r="I99" i="10" s="1"/>
  <c r="M99" i="7"/>
  <c r="M99" i="8" s="1"/>
  <c r="M99" i="9" s="1"/>
  <c r="M99" i="10" s="1"/>
  <c r="E99" i="7"/>
  <c r="E99" i="8" s="1"/>
  <c r="E99" i="9" s="1"/>
  <c r="E99" i="10" s="1"/>
  <c r="H99" i="7"/>
  <c r="H99" i="8" s="1"/>
  <c r="H99" i="9" s="1"/>
  <c r="H99" i="10" s="1"/>
  <c r="F99" i="7"/>
  <c r="F99" i="8" s="1"/>
  <c r="F99" i="9" s="1"/>
  <c r="F99" i="10" s="1"/>
  <c r="J99" i="7"/>
  <c r="J99" i="8" s="1"/>
  <c r="J99" i="9" s="1"/>
  <c r="J99" i="10" s="1"/>
  <c r="K99" i="7"/>
  <c r="K99" i="8" s="1"/>
  <c r="K99" i="9" s="1"/>
  <c r="K99" i="10" s="1"/>
  <c r="L99" i="7"/>
  <c r="L99" i="8" s="1"/>
  <c r="L99" i="9" s="1"/>
  <c r="L99" i="10" s="1"/>
  <c r="E13" i="5"/>
  <c r="E27" i="5" s="1"/>
  <c r="AP99" i="17"/>
  <c r="J109" i="5"/>
  <c r="M109" i="5"/>
  <c r="G13" i="5"/>
  <c r="G27" i="5" s="1"/>
  <c r="P13" i="5"/>
  <c r="P27" i="5" s="1"/>
  <c r="P109" i="5"/>
  <c r="K109" i="5"/>
  <c r="L109" i="5"/>
  <c r="O109" i="5"/>
  <c r="F109" i="5"/>
  <c r="G109" i="5"/>
  <c r="P80" i="1"/>
  <c r="H13" i="5"/>
  <c r="H27" i="5" s="1"/>
  <c r="N13" i="5"/>
  <c r="N27" i="5" s="1"/>
  <c r="F13" i="5"/>
  <c r="F27" i="5" s="1"/>
  <c r="I109" i="5"/>
  <c r="F103" i="17"/>
  <c r="AP100" i="17"/>
  <c r="F70" i="7"/>
  <c r="F70" i="8" s="1"/>
  <c r="F70" i="9" s="1"/>
  <c r="F70" i="10" s="1"/>
  <c r="O70" i="7"/>
  <c r="O70" i="8" s="1"/>
  <c r="O70" i="9" s="1"/>
  <c r="O70" i="10" s="1"/>
  <c r="N70" i="7"/>
  <c r="N70" i="8" s="1"/>
  <c r="N70" i="9" s="1"/>
  <c r="N70" i="10" s="1"/>
  <c r="M70" i="7"/>
  <c r="M70" i="8" s="1"/>
  <c r="M70" i="9" s="1"/>
  <c r="M70" i="10" s="1"/>
  <c r="L70" i="7"/>
  <c r="L70" i="8" s="1"/>
  <c r="L70" i="9" s="1"/>
  <c r="L70" i="10" s="1"/>
  <c r="K70" i="7"/>
  <c r="K70" i="8" s="1"/>
  <c r="K70" i="9" s="1"/>
  <c r="K70" i="10" s="1"/>
  <c r="J70" i="7"/>
  <c r="J70" i="8" s="1"/>
  <c r="J70" i="9" s="1"/>
  <c r="J70" i="10" s="1"/>
  <c r="I70" i="7"/>
  <c r="I70" i="8" s="1"/>
  <c r="I70" i="9" s="1"/>
  <c r="I70" i="10" s="1"/>
  <c r="E70" i="7"/>
  <c r="E70" i="8" s="1"/>
  <c r="E70" i="9" s="1"/>
  <c r="E70" i="10" s="1"/>
  <c r="H70" i="7"/>
  <c r="H70" i="8" s="1"/>
  <c r="H70" i="9" s="1"/>
  <c r="H70" i="10" s="1"/>
  <c r="G70" i="7"/>
  <c r="G70" i="8" s="1"/>
  <c r="G70" i="9" s="1"/>
  <c r="G70" i="10" s="1"/>
  <c r="L13" i="5"/>
  <c r="L27" i="5" s="1"/>
  <c r="M13" i="5"/>
  <c r="M27" i="5" s="1"/>
  <c r="I13" i="5"/>
  <c r="I27" i="5" s="1"/>
  <c r="K13" i="5"/>
  <c r="K27" i="5" s="1"/>
  <c r="J13" i="5"/>
  <c r="O13" i="5"/>
  <c r="O27" i="5" s="1"/>
  <c r="E8" i="17"/>
  <c r="G5" i="18" s="1"/>
  <c r="F5" i="18" s="1"/>
  <c r="S17" i="5"/>
  <c r="J17" i="5"/>
  <c r="S100" i="1"/>
  <c r="X100" i="1" s="1"/>
  <c r="P113" i="5"/>
  <c r="K113" i="5"/>
  <c r="H113" i="5"/>
  <c r="G113" i="5"/>
  <c r="U93" i="7"/>
  <c r="AA93" i="1"/>
  <c r="AR93" i="17"/>
  <c r="AD93" i="1"/>
  <c r="E113" i="5"/>
  <c r="S111" i="5"/>
  <c r="AR111" i="17"/>
  <c r="U111" i="7"/>
  <c r="S113" i="1"/>
  <c r="AD111" i="1"/>
  <c r="F113" i="5"/>
  <c r="M113" i="5"/>
  <c r="J113" i="5"/>
  <c r="L113" i="5"/>
  <c r="AD112" i="1"/>
  <c r="AR112" i="17"/>
  <c r="U112" i="7"/>
  <c r="AA112" i="1"/>
  <c r="S122" i="1"/>
  <c r="E133" i="6" s="1"/>
  <c r="O113" i="5"/>
  <c r="I113" i="5"/>
  <c r="N113" i="5"/>
  <c r="AP80" i="17"/>
  <c r="U98" i="7"/>
  <c r="AD98" i="1"/>
  <c r="AA98" i="1"/>
  <c r="AR98" i="17"/>
  <c r="I106" i="5"/>
  <c r="S101" i="1"/>
  <c r="X101" i="1" s="1"/>
  <c r="AA68" i="1"/>
  <c r="H106" i="5"/>
  <c r="S69" i="1"/>
  <c r="AR83" i="17"/>
  <c r="AA83" i="1"/>
  <c r="U83" i="7"/>
  <c r="AD83" i="1"/>
  <c r="AD12" i="1"/>
  <c r="E12" i="17"/>
  <c r="G10" i="18" s="1"/>
  <c r="F10" i="18" s="1"/>
  <c r="AD9" i="1"/>
  <c r="E9" i="17"/>
  <c r="G6" i="18" s="1"/>
  <c r="F6" i="18" s="1"/>
  <c r="S102" i="1"/>
  <c r="X102" i="1" s="1"/>
  <c r="AR68" i="17"/>
  <c r="S97" i="1"/>
  <c r="X97" i="1" s="1"/>
  <c r="S66" i="1"/>
  <c r="X66" i="1" s="1"/>
  <c r="U8" i="7"/>
  <c r="U106" i="1"/>
  <c r="G106" i="5"/>
  <c r="H109" i="5"/>
  <c r="S105" i="1"/>
  <c r="S65" i="1"/>
  <c r="X65" i="1" s="1"/>
  <c r="S78" i="1"/>
  <c r="S76" i="1"/>
  <c r="AR76" i="17" s="1"/>
  <c r="S96" i="1"/>
  <c r="S77" i="1"/>
  <c r="E106" i="5"/>
  <c r="K25" i="9"/>
  <c r="G25" i="9"/>
  <c r="M25" i="9"/>
  <c r="H25" i="9"/>
  <c r="N25" i="9"/>
  <c r="F25" i="9"/>
  <c r="J25" i="9"/>
  <c r="P25" i="9"/>
  <c r="I25" i="9"/>
  <c r="L25" i="9"/>
  <c r="O25" i="9"/>
  <c r="E22" i="8"/>
  <c r="E25" i="8"/>
  <c r="S24" i="8"/>
  <c r="I31" i="6" s="1"/>
  <c r="G22" i="8"/>
  <c r="I22" i="8"/>
  <c r="F22" i="8"/>
  <c r="M22" i="8"/>
  <c r="S21" i="8"/>
  <c r="L22" i="8"/>
  <c r="H22" i="8"/>
  <c r="N22" i="8"/>
  <c r="O13" i="9"/>
  <c r="L13" i="9"/>
  <c r="G13" i="9"/>
  <c r="P13" i="9"/>
  <c r="N13" i="9"/>
  <c r="S9" i="9"/>
  <c r="I13" i="9"/>
  <c r="Q5" i="10"/>
  <c r="H13" i="9"/>
  <c r="E13" i="10"/>
  <c r="K13" i="9"/>
  <c r="S71" i="1"/>
  <c r="S72" i="1"/>
  <c r="U12" i="7"/>
  <c r="AA12" i="1"/>
  <c r="AA9" i="1"/>
  <c r="U9" i="7"/>
  <c r="S13" i="10" l="1"/>
  <c r="U80" i="1"/>
  <c r="E25" i="11" s="1"/>
  <c r="G25" i="11" s="1"/>
  <c r="S12" i="9"/>
  <c r="U12" i="10" s="1"/>
  <c r="S12" i="7"/>
  <c r="U12" i="8" s="1"/>
  <c r="G27" i="16"/>
  <c r="J30" i="11"/>
  <c r="K30" i="11" s="1"/>
  <c r="K14" i="11"/>
  <c r="E28" i="11"/>
  <c r="G28" i="11" s="1"/>
  <c r="S12" i="8"/>
  <c r="U12" i="9" s="1"/>
  <c r="AR78" i="17"/>
  <c r="X78" i="1"/>
  <c r="X91" i="1"/>
  <c r="AR105" i="17"/>
  <c r="X105" i="1"/>
  <c r="X106" i="1" s="1"/>
  <c r="X90" i="1"/>
  <c r="AR77" i="17"/>
  <c r="X77" i="1"/>
  <c r="X69" i="1"/>
  <c r="X72" i="1"/>
  <c r="X71" i="1"/>
  <c r="AR96" i="17"/>
  <c r="X96" i="1"/>
  <c r="P99" i="7"/>
  <c r="P99" i="8" s="1"/>
  <c r="P99" i="9" s="1"/>
  <c r="P99" i="10" s="1"/>
  <c r="G30" i="11"/>
  <c r="P70" i="7"/>
  <c r="P70" i="8" s="1"/>
  <c r="P70" i="9" s="1"/>
  <c r="P70" i="10" s="1"/>
  <c r="V8" i="7"/>
  <c r="V9" i="8"/>
  <c r="S13" i="5"/>
  <c r="V9" i="7"/>
  <c r="V9" i="9"/>
  <c r="S11" i="7"/>
  <c r="U11" i="8" s="1"/>
  <c r="G19" i="6"/>
  <c r="S77" i="5"/>
  <c r="AR97" i="17"/>
  <c r="AR101" i="17"/>
  <c r="AD102" i="1"/>
  <c r="S96" i="5"/>
  <c r="S103" i="5" s="1"/>
  <c r="AR65" i="17"/>
  <c r="AR66" i="17"/>
  <c r="AA100" i="1"/>
  <c r="L103" i="5"/>
  <c r="AA92" i="1"/>
  <c r="K103" i="5"/>
  <c r="J103" i="5"/>
  <c r="F103" i="5"/>
  <c r="H103" i="5"/>
  <c r="M103" i="5"/>
  <c r="I103" i="5"/>
  <c r="G103" i="5"/>
  <c r="N103" i="5"/>
  <c r="P103" i="5"/>
  <c r="O103" i="5"/>
  <c r="P103" i="1"/>
  <c r="S99" i="1"/>
  <c r="X99" i="1" s="1"/>
  <c r="AP103" i="17"/>
  <c r="S76" i="5"/>
  <c r="AA10" i="1"/>
  <c r="J27" i="5"/>
  <c r="S70" i="1"/>
  <c r="X70" i="1" s="1"/>
  <c r="U92" i="7"/>
  <c r="AR100" i="17"/>
  <c r="AD92" i="1"/>
  <c r="AR92" i="17"/>
  <c r="U100" i="7"/>
  <c r="AD100" i="1"/>
  <c r="S113" i="5"/>
  <c r="AD113" i="1"/>
  <c r="AR113" i="17"/>
  <c r="AA111" i="1"/>
  <c r="AA113" i="1" s="1"/>
  <c r="U113" i="7"/>
  <c r="E119" i="6"/>
  <c r="E123" i="7"/>
  <c r="AP8" i="17"/>
  <c r="U101" i="7"/>
  <c r="AA101" i="1"/>
  <c r="AD101" i="1"/>
  <c r="AP12" i="17"/>
  <c r="AR12" i="17" s="1"/>
  <c r="AD68" i="1"/>
  <c r="U69" i="7"/>
  <c r="AA69" i="1"/>
  <c r="AR69" i="17"/>
  <c r="AD69" i="1"/>
  <c r="U102" i="7"/>
  <c r="AA102" i="1"/>
  <c r="AD10" i="1"/>
  <c r="E10" i="17"/>
  <c r="G7" i="18" s="1"/>
  <c r="F7" i="18" s="1"/>
  <c r="AP9" i="17"/>
  <c r="AR9" i="17" s="1"/>
  <c r="AD11" i="1"/>
  <c r="E11" i="17"/>
  <c r="G8" i="18" s="1"/>
  <c r="F8" i="18" s="1"/>
  <c r="AR102" i="17"/>
  <c r="AD71" i="1"/>
  <c r="AR71" i="17"/>
  <c r="AD72" i="1"/>
  <c r="AR72" i="17"/>
  <c r="AA97" i="1"/>
  <c r="AD97" i="1"/>
  <c r="AA65" i="1"/>
  <c r="AD65" i="1"/>
  <c r="AD66" i="1"/>
  <c r="AA105" i="1"/>
  <c r="AA106" i="1" s="1"/>
  <c r="AD105" i="1"/>
  <c r="AD106" i="1" s="1"/>
  <c r="AD96" i="1"/>
  <c r="AA77" i="1"/>
  <c r="AD77" i="1"/>
  <c r="U10" i="7"/>
  <c r="AA76" i="1"/>
  <c r="AD76" i="1"/>
  <c r="U78" i="7"/>
  <c r="AD78" i="1"/>
  <c r="AA66" i="1"/>
  <c r="U66" i="7"/>
  <c r="U97" i="7"/>
  <c r="U11" i="7"/>
  <c r="U65" i="7"/>
  <c r="S105" i="5"/>
  <c r="S106" i="5" s="1"/>
  <c r="S106" i="1"/>
  <c r="J28" i="11" s="1"/>
  <c r="K28" i="11" s="1"/>
  <c r="S108" i="5"/>
  <c r="S109" i="5" s="1"/>
  <c r="U105" i="7"/>
  <c r="U106" i="7" s="1"/>
  <c r="AA78" i="1"/>
  <c r="U96" i="7"/>
  <c r="U76" i="7"/>
  <c r="AA96" i="1"/>
  <c r="U77" i="7"/>
  <c r="U68" i="7"/>
  <c r="AA11" i="1"/>
  <c r="F22" i="9"/>
  <c r="I22" i="9"/>
  <c r="G22" i="9"/>
  <c r="L22" i="9"/>
  <c r="M22" i="9"/>
  <c r="H22" i="9"/>
  <c r="S21" i="9"/>
  <c r="S25" i="8"/>
  <c r="U24" i="9"/>
  <c r="U25" i="9" s="1"/>
  <c r="V24" i="8"/>
  <c r="V25" i="8" s="1"/>
  <c r="E25" i="9"/>
  <c r="S24" i="9"/>
  <c r="K31" i="6" s="1"/>
  <c r="N22" i="9"/>
  <c r="U21" i="9"/>
  <c r="V21" i="8"/>
  <c r="M25" i="10"/>
  <c r="K25" i="10"/>
  <c r="O25" i="10"/>
  <c r="J25" i="10"/>
  <c r="G25" i="10"/>
  <c r="N25" i="10"/>
  <c r="P25" i="10"/>
  <c r="F25" i="10"/>
  <c r="I25" i="10"/>
  <c r="H25" i="10"/>
  <c r="L25" i="10"/>
  <c r="E22" i="9"/>
  <c r="K13" i="10"/>
  <c r="Q13" i="5"/>
  <c r="Q27" i="5" s="1"/>
  <c r="F13" i="10"/>
  <c r="P13" i="10"/>
  <c r="N13" i="10"/>
  <c r="H13" i="10"/>
  <c r="G13" i="10"/>
  <c r="O13" i="10"/>
  <c r="U9" i="10"/>
  <c r="L13" i="10"/>
  <c r="J13" i="10"/>
  <c r="M13" i="10"/>
  <c r="I13" i="10"/>
  <c r="AA72" i="1"/>
  <c r="U72" i="7"/>
  <c r="AA71" i="1"/>
  <c r="U71" i="7"/>
  <c r="V12" i="9" l="1"/>
  <c r="U103" i="1"/>
  <c r="E27" i="11" s="1"/>
  <c r="G27" i="11" s="1"/>
  <c r="V12" i="7"/>
  <c r="H27" i="16"/>
  <c r="V12" i="8"/>
  <c r="S27" i="5"/>
  <c r="G25" i="16"/>
  <c r="H25" i="16" s="1"/>
  <c r="X103" i="1"/>
  <c r="G11" i="16"/>
  <c r="H11" i="16" s="1"/>
  <c r="S8" i="8"/>
  <c r="V11" i="7"/>
  <c r="I19" i="6"/>
  <c r="S10" i="7"/>
  <c r="S10" i="8"/>
  <c r="S11" i="8"/>
  <c r="E112" i="6"/>
  <c r="U99" i="7"/>
  <c r="U103" i="7" s="1"/>
  <c r="AR70" i="17"/>
  <c r="AA99" i="1"/>
  <c r="AA103" i="1" s="1"/>
  <c r="E103" i="5"/>
  <c r="AR99" i="17"/>
  <c r="AD99" i="1"/>
  <c r="AD103" i="1" s="1"/>
  <c r="S103" i="1"/>
  <c r="J27" i="11" s="1"/>
  <c r="K27" i="11" s="1"/>
  <c r="O122" i="7"/>
  <c r="N122" i="7"/>
  <c r="P122" i="7"/>
  <c r="K122" i="7"/>
  <c r="F122" i="7"/>
  <c r="J122" i="7"/>
  <c r="H122" i="7"/>
  <c r="I122" i="7"/>
  <c r="M122" i="7"/>
  <c r="L122" i="7"/>
  <c r="G122" i="7"/>
  <c r="AA13" i="1"/>
  <c r="AA70" i="1"/>
  <c r="U70" i="7"/>
  <c r="AD70" i="1"/>
  <c r="S123" i="1"/>
  <c r="E134" i="6" s="1"/>
  <c r="G113" i="7"/>
  <c r="O113" i="7"/>
  <c r="M113" i="7"/>
  <c r="P113" i="7"/>
  <c r="N113" i="7"/>
  <c r="H113" i="7"/>
  <c r="I113" i="7"/>
  <c r="F113" i="7"/>
  <c r="S93" i="7"/>
  <c r="J113" i="7"/>
  <c r="S112" i="7"/>
  <c r="E122" i="7"/>
  <c r="K113" i="7"/>
  <c r="H122" i="8"/>
  <c r="S111" i="7"/>
  <c r="L113" i="7"/>
  <c r="Q117" i="5"/>
  <c r="Q120" i="5" s="1"/>
  <c r="E19" i="6"/>
  <c r="AP11" i="17"/>
  <c r="AR11" i="17" s="1"/>
  <c r="AP10" i="17"/>
  <c r="AR10" i="17" s="1"/>
  <c r="AD13" i="1"/>
  <c r="AR8" i="17"/>
  <c r="E13" i="17"/>
  <c r="AR106" i="17"/>
  <c r="U13" i="7"/>
  <c r="F22" i="10"/>
  <c r="E25" i="10"/>
  <c r="S24" i="10"/>
  <c r="M31" i="6" s="1"/>
  <c r="E22" i="10"/>
  <c r="N22" i="10"/>
  <c r="H22" i="10"/>
  <c r="L22" i="10"/>
  <c r="I22" i="10"/>
  <c r="V21" i="9"/>
  <c r="U21" i="10"/>
  <c r="S21" i="10"/>
  <c r="M22" i="10"/>
  <c r="G22" i="10"/>
  <c r="U24" i="10"/>
  <c r="U25" i="10" s="1"/>
  <c r="V24" i="9"/>
  <c r="V25" i="9" s="1"/>
  <c r="S25" i="9"/>
  <c r="V12" i="10"/>
  <c r="V9" i="10"/>
  <c r="F64" i="17"/>
  <c r="G24" i="16" l="1"/>
  <c r="H24" i="16" s="1"/>
  <c r="K19" i="6"/>
  <c r="U11" i="9"/>
  <c r="V11" i="8"/>
  <c r="S10" i="9"/>
  <c r="S11" i="9"/>
  <c r="U10" i="9"/>
  <c r="U10" i="8"/>
  <c r="U13" i="8" s="1"/>
  <c r="S13" i="7"/>
  <c r="S8" i="9"/>
  <c r="U8" i="9"/>
  <c r="S13" i="8"/>
  <c r="V8" i="8"/>
  <c r="V10" i="7"/>
  <c r="V13" i="7" s="1"/>
  <c r="F122" i="8"/>
  <c r="E109" i="6"/>
  <c r="L122" i="8"/>
  <c r="G119" i="6"/>
  <c r="I122" i="8"/>
  <c r="N122" i="8"/>
  <c r="O122" i="8"/>
  <c r="AR103" i="17"/>
  <c r="K122" i="8"/>
  <c r="M122" i="8"/>
  <c r="P122" i="8"/>
  <c r="S122" i="7"/>
  <c r="G133" i="6" s="1"/>
  <c r="J17" i="7"/>
  <c r="L17" i="7"/>
  <c r="L27" i="7" s="1"/>
  <c r="E17" i="7"/>
  <c r="E27" i="7" s="1"/>
  <c r="P17" i="7"/>
  <c r="N17" i="7"/>
  <c r="N27" i="7" s="1"/>
  <c r="H17" i="7"/>
  <c r="H27" i="7" s="1"/>
  <c r="F17" i="7"/>
  <c r="F27" i="7" s="1"/>
  <c r="G17" i="7"/>
  <c r="G27" i="7" s="1"/>
  <c r="J122" i="8"/>
  <c r="G122" i="8"/>
  <c r="G106" i="7"/>
  <c r="L17" i="8"/>
  <c r="L27" i="8" s="1"/>
  <c r="N17" i="8"/>
  <c r="N27" i="8" s="1"/>
  <c r="G17" i="8"/>
  <c r="G27" i="8" s="1"/>
  <c r="P17" i="8"/>
  <c r="J17" i="8"/>
  <c r="P113" i="8"/>
  <c r="H113" i="8"/>
  <c r="N113" i="8"/>
  <c r="F113" i="8"/>
  <c r="J113" i="8"/>
  <c r="M113" i="8"/>
  <c r="E122" i="8"/>
  <c r="S112" i="8"/>
  <c r="G113" i="8"/>
  <c r="L113" i="8"/>
  <c r="I113" i="8"/>
  <c r="G122" i="9"/>
  <c r="P122" i="9"/>
  <c r="I122" i="9"/>
  <c r="H122" i="9"/>
  <c r="L122" i="9"/>
  <c r="N122" i="9"/>
  <c r="F122" i="9"/>
  <c r="J122" i="9"/>
  <c r="M122" i="9"/>
  <c r="O122" i="9"/>
  <c r="K122" i="9"/>
  <c r="U112" i="8"/>
  <c r="V112" i="7"/>
  <c r="S111" i="8"/>
  <c r="E113" i="8"/>
  <c r="K113" i="8"/>
  <c r="S113" i="7"/>
  <c r="V111" i="7"/>
  <c r="U111" i="8"/>
  <c r="O113" i="8"/>
  <c r="U93" i="8"/>
  <c r="V93" i="7"/>
  <c r="S93" i="8"/>
  <c r="F74" i="17"/>
  <c r="S98" i="7"/>
  <c r="AP13" i="17"/>
  <c r="AR13" i="17" s="1"/>
  <c r="S83" i="7"/>
  <c r="E64" i="17"/>
  <c r="F54" i="18" s="1"/>
  <c r="E73" i="17"/>
  <c r="V21" i="10"/>
  <c r="S25" i="10"/>
  <c r="V24" i="10"/>
  <c r="V25" i="10" s="1"/>
  <c r="S101" i="7"/>
  <c r="S102" i="7"/>
  <c r="S97" i="7"/>
  <c r="S66" i="7"/>
  <c r="S77" i="7"/>
  <c r="S76" i="7"/>
  <c r="M19" i="6" l="1"/>
  <c r="V8" i="9"/>
  <c r="S13" i="9"/>
  <c r="U8" i="10"/>
  <c r="U13" i="9"/>
  <c r="V10" i="8"/>
  <c r="V13" i="8" s="1"/>
  <c r="V11" i="9"/>
  <c r="U11" i="10"/>
  <c r="V11" i="10" s="1"/>
  <c r="V10" i="9"/>
  <c r="U10" i="10"/>
  <c r="V10" i="10" s="1"/>
  <c r="S96" i="7"/>
  <c r="V96" i="7" s="1"/>
  <c r="S122" i="8"/>
  <c r="I133" i="6" s="1"/>
  <c r="H17" i="8"/>
  <c r="H27" i="8" s="1"/>
  <c r="F17" i="8"/>
  <c r="F27" i="8" s="1"/>
  <c r="E17" i="8"/>
  <c r="E27" i="8" s="1"/>
  <c r="U112" i="9"/>
  <c r="I119" i="6"/>
  <c r="I106" i="7"/>
  <c r="L106" i="7"/>
  <c r="J106" i="7"/>
  <c r="O106" i="7"/>
  <c r="H106" i="7"/>
  <c r="N106" i="7"/>
  <c r="M106" i="7"/>
  <c r="P106" i="7"/>
  <c r="K106" i="7"/>
  <c r="F106" i="7"/>
  <c r="U101" i="8"/>
  <c r="V97" i="7"/>
  <c r="J103" i="7"/>
  <c r="H103" i="7"/>
  <c r="V98" i="7"/>
  <c r="O103" i="7"/>
  <c r="E103" i="7"/>
  <c r="F103" i="7"/>
  <c r="L103" i="7"/>
  <c r="I103" i="7"/>
  <c r="V102" i="7"/>
  <c r="M103" i="7"/>
  <c r="P103" i="7"/>
  <c r="G103" i="7"/>
  <c r="U83" i="8"/>
  <c r="U93" i="9"/>
  <c r="N64" i="7"/>
  <c r="N64" i="8" s="1"/>
  <c r="N64" i="9" s="1"/>
  <c r="N64" i="10" s="1"/>
  <c r="M64" i="7"/>
  <c r="M64" i="8" s="1"/>
  <c r="M64" i="9" s="1"/>
  <c r="M64" i="10" s="1"/>
  <c r="L64" i="7"/>
  <c r="L64" i="8" s="1"/>
  <c r="L64" i="9" s="1"/>
  <c r="L64" i="10" s="1"/>
  <c r="O64" i="7"/>
  <c r="O64" i="8" s="1"/>
  <c r="O64" i="9" s="1"/>
  <c r="O64" i="10" s="1"/>
  <c r="K64" i="7"/>
  <c r="K64" i="8" s="1"/>
  <c r="K64" i="9" s="1"/>
  <c r="K64" i="10" s="1"/>
  <c r="J64" i="7"/>
  <c r="J64" i="8" s="1"/>
  <c r="J64" i="9" s="1"/>
  <c r="J64" i="10" s="1"/>
  <c r="I64" i="7"/>
  <c r="I64" i="8" s="1"/>
  <c r="I64" i="9" s="1"/>
  <c r="I64" i="10" s="1"/>
  <c r="E64" i="7"/>
  <c r="E64" i="8" s="1"/>
  <c r="E64" i="9" s="1"/>
  <c r="E64" i="10" s="1"/>
  <c r="H64" i="7"/>
  <c r="H64" i="8" s="1"/>
  <c r="H64" i="9" s="1"/>
  <c r="H64" i="10" s="1"/>
  <c r="G64" i="7"/>
  <c r="G64" i="8" s="1"/>
  <c r="G64" i="9" s="1"/>
  <c r="G64" i="10" s="1"/>
  <c r="F64" i="7"/>
  <c r="F64" i="8" s="1"/>
  <c r="F64" i="9" s="1"/>
  <c r="F64" i="10" s="1"/>
  <c r="J73" i="7"/>
  <c r="J73" i="8" s="1"/>
  <c r="J73" i="9" s="1"/>
  <c r="J73" i="10" s="1"/>
  <c r="I73" i="7"/>
  <c r="I73" i="8" s="1"/>
  <c r="I73" i="9" s="1"/>
  <c r="I73" i="10" s="1"/>
  <c r="K73" i="7"/>
  <c r="K73" i="8" s="1"/>
  <c r="K73" i="9" s="1"/>
  <c r="K73" i="10" s="1"/>
  <c r="G73" i="7"/>
  <c r="G73" i="8" s="1"/>
  <c r="G73" i="9" s="1"/>
  <c r="G73" i="10" s="1"/>
  <c r="F73" i="7"/>
  <c r="F73" i="8" s="1"/>
  <c r="F73" i="9" s="1"/>
  <c r="F73" i="10" s="1"/>
  <c r="O73" i="7"/>
  <c r="O73" i="8" s="1"/>
  <c r="O73" i="9" s="1"/>
  <c r="O73" i="10" s="1"/>
  <c r="N73" i="7"/>
  <c r="N73" i="8" s="1"/>
  <c r="N73" i="9" s="1"/>
  <c r="N73" i="10" s="1"/>
  <c r="M73" i="7"/>
  <c r="M73" i="8" s="1"/>
  <c r="M73" i="9" s="1"/>
  <c r="M73" i="10" s="1"/>
  <c r="E73" i="7"/>
  <c r="E73" i="8" s="1"/>
  <c r="E73" i="9" s="1"/>
  <c r="E73" i="10" s="1"/>
  <c r="L73" i="7"/>
  <c r="L73" i="8" s="1"/>
  <c r="L73" i="9" s="1"/>
  <c r="L73" i="10" s="1"/>
  <c r="L17" i="9"/>
  <c r="L27" i="9" s="1"/>
  <c r="G17" i="9"/>
  <c r="G27" i="9" s="1"/>
  <c r="J17" i="9"/>
  <c r="E17" i="9"/>
  <c r="E27" i="9" s="1"/>
  <c r="N17" i="9"/>
  <c r="N27" i="9" s="1"/>
  <c r="H17" i="9"/>
  <c r="H27" i="9" s="1"/>
  <c r="P17" i="9"/>
  <c r="F17" i="9"/>
  <c r="F27" i="9" s="1"/>
  <c r="N113" i="9"/>
  <c r="O113" i="9"/>
  <c r="I113" i="9"/>
  <c r="S93" i="9"/>
  <c r="S111" i="9"/>
  <c r="M113" i="9"/>
  <c r="K113" i="9"/>
  <c r="G113" i="9"/>
  <c r="L113" i="9"/>
  <c r="J113" i="9"/>
  <c r="H113" i="9"/>
  <c r="F113" i="9"/>
  <c r="N122" i="10"/>
  <c r="L122" i="10"/>
  <c r="P122" i="10"/>
  <c r="F122" i="10"/>
  <c r="H122" i="10"/>
  <c r="I122" i="10"/>
  <c r="M122" i="10"/>
  <c r="O122" i="10"/>
  <c r="J122" i="10"/>
  <c r="G122" i="10"/>
  <c r="K122" i="10"/>
  <c r="P113" i="9"/>
  <c r="V112" i="8"/>
  <c r="U111" i="9"/>
  <c r="S113" i="8"/>
  <c r="V93" i="8"/>
  <c r="V111" i="8"/>
  <c r="U113" i="8"/>
  <c r="E113" i="9"/>
  <c r="S112" i="9"/>
  <c r="E122" i="9"/>
  <c r="S122" i="9" s="1"/>
  <c r="K133" i="6" s="1"/>
  <c r="V113" i="7"/>
  <c r="S98" i="8"/>
  <c r="U98" i="8"/>
  <c r="G80" i="5"/>
  <c r="S79" i="1"/>
  <c r="X79" i="1" s="1"/>
  <c r="X80" i="1" s="1"/>
  <c r="L80" i="5"/>
  <c r="O80" i="5"/>
  <c r="F80" i="5"/>
  <c r="I80" i="5"/>
  <c r="J80" i="5"/>
  <c r="H80" i="5"/>
  <c r="P80" i="5"/>
  <c r="K80" i="5"/>
  <c r="M80" i="5"/>
  <c r="N80" i="5"/>
  <c r="Z19" i="4"/>
  <c r="V83" i="7"/>
  <c r="AP64" i="17"/>
  <c r="E74" i="17"/>
  <c r="E115" i="17" s="1"/>
  <c r="S83" i="8"/>
  <c r="G106" i="8"/>
  <c r="E106" i="8"/>
  <c r="E106" i="7"/>
  <c r="S105" i="7"/>
  <c r="S65" i="7"/>
  <c r="S68" i="7"/>
  <c r="V101" i="7"/>
  <c r="K103" i="7"/>
  <c r="U97" i="8"/>
  <c r="K103" i="8"/>
  <c r="S82" i="1"/>
  <c r="X82" i="1" s="1"/>
  <c r="S77" i="8"/>
  <c r="U102" i="8"/>
  <c r="S84" i="1"/>
  <c r="N103" i="7"/>
  <c r="S76" i="8"/>
  <c r="S65" i="8"/>
  <c r="S102" i="8"/>
  <c r="S66" i="8"/>
  <c r="N103" i="8"/>
  <c r="V77" i="7"/>
  <c r="U77" i="8"/>
  <c r="S71" i="7"/>
  <c r="S96" i="8"/>
  <c r="S97" i="8"/>
  <c r="S72" i="7"/>
  <c r="S101" i="8"/>
  <c r="U76" i="8"/>
  <c r="V76" i="7"/>
  <c r="V66" i="7"/>
  <c r="U66" i="8"/>
  <c r="X84" i="1" l="1"/>
  <c r="P73" i="7"/>
  <c r="P73" i="8" s="1"/>
  <c r="P73" i="9" s="1"/>
  <c r="P73" i="10" s="1"/>
  <c r="P64" i="7"/>
  <c r="P64" i="8" s="1"/>
  <c r="P64" i="9" s="1"/>
  <c r="P64" i="10" s="1"/>
  <c r="U96" i="8"/>
  <c r="V96" i="8" s="1"/>
  <c r="U13" i="10"/>
  <c r="V13" i="9"/>
  <c r="V8" i="10"/>
  <c r="V13" i="10" s="1"/>
  <c r="S78" i="7"/>
  <c r="M103" i="8"/>
  <c r="I103" i="8"/>
  <c r="M106" i="8"/>
  <c r="K106" i="8"/>
  <c r="J106" i="8"/>
  <c r="N106" i="8"/>
  <c r="L106" i="8"/>
  <c r="F103" i="8"/>
  <c r="G103" i="8"/>
  <c r="I106" i="8"/>
  <c r="P103" i="8"/>
  <c r="O103" i="8"/>
  <c r="H106" i="8"/>
  <c r="P106" i="8"/>
  <c r="U111" i="10"/>
  <c r="U112" i="10"/>
  <c r="O106" i="8"/>
  <c r="S106" i="7"/>
  <c r="G112" i="6"/>
  <c r="F106" i="8"/>
  <c r="U97" i="9"/>
  <c r="U101" i="9"/>
  <c r="U98" i="9"/>
  <c r="H103" i="8"/>
  <c r="U102" i="9"/>
  <c r="L103" i="8"/>
  <c r="U93" i="10"/>
  <c r="U83" i="9"/>
  <c r="U77" i="9"/>
  <c r="U76" i="9"/>
  <c r="U65" i="9"/>
  <c r="U66" i="9"/>
  <c r="V65" i="7"/>
  <c r="U68" i="8"/>
  <c r="L17" i="10"/>
  <c r="L27" i="10" s="1"/>
  <c r="I113" i="10"/>
  <c r="J17" i="10"/>
  <c r="E17" i="10"/>
  <c r="E27" i="10" s="1"/>
  <c r="P17" i="10"/>
  <c r="F17" i="10"/>
  <c r="F27" i="10" s="1"/>
  <c r="N17" i="10"/>
  <c r="N27" i="10" s="1"/>
  <c r="H17" i="10"/>
  <c r="H27" i="10" s="1"/>
  <c r="G17" i="10"/>
  <c r="G27" i="10" s="1"/>
  <c r="M113" i="10"/>
  <c r="J113" i="10"/>
  <c r="N113" i="10"/>
  <c r="P113" i="10"/>
  <c r="V93" i="9"/>
  <c r="O113" i="10"/>
  <c r="F113" i="10"/>
  <c r="G113" i="10"/>
  <c r="S93" i="10"/>
  <c r="K113" i="10"/>
  <c r="S113" i="9"/>
  <c r="V113" i="8"/>
  <c r="H113" i="10"/>
  <c r="L113" i="10"/>
  <c r="E122" i="10"/>
  <c r="S122" i="10" s="1"/>
  <c r="M133" i="6" s="1"/>
  <c r="S112" i="10"/>
  <c r="S111" i="10"/>
  <c r="E113" i="10"/>
  <c r="U113" i="9"/>
  <c r="V111" i="9"/>
  <c r="V112" i="9"/>
  <c r="S82" i="5"/>
  <c r="S98" i="9"/>
  <c r="V98" i="8"/>
  <c r="S85" i="1"/>
  <c r="X85" i="1" s="1"/>
  <c r="AR79" i="17"/>
  <c r="U79" i="7"/>
  <c r="AD79" i="1"/>
  <c r="AD80" i="1" s="1"/>
  <c r="S80" i="1"/>
  <c r="J25" i="11" s="1"/>
  <c r="K25" i="11" s="1"/>
  <c r="E80" i="5"/>
  <c r="S80" i="5"/>
  <c r="S83" i="9"/>
  <c r="V83" i="8"/>
  <c r="J106" i="9"/>
  <c r="E106" i="9"/>
  <c r="AD84" i="1"/>
  <c r="AR84" i="17"/>
  <c r="AD82" i="1"/>
  <c r="AR82" i="17"/>
  <c r="F106" i="9"/>
  <c r="N106" i="9"/>
  <c r="G106" i="9"/>
  <c r="I106" i="9"/>
  <c r="K106" i="9"/>
  <c r="M106" i="9"/>
  <c r="V105" i="7"/>
  <c r="V106" i="7" s="1"/>
  <c r="O106" i="9"/>
  <c r="U105" i="8"/>
  <c r="U106" i="8" s="1"/>
  <c r="U65" i="8"/>
  <c r="V65" i="8" s="1"/>
  <c r="P106" i="9"/>
  <c r="S105" i="8"/>
  <c r="H106" i="9"/>
  <c r="L106" i="9"/>
  <c r="S64" i="1"/>
  <c r="S68" i="8"/>
  <c r="V68" i="7"/>
  <c r="P103" i="9"/>
  <c r="S86" i="1"/>
  <c r="V77" i="8"/>
  <c r="S87" i="1"/>
  <c r="M103" i="9"/>
  <c r="U82" i="7"/>
  <c r="AA82" i="1"/>
  <c r="S88" i="1"/>
  <c r="AA84" i="1"/>
  <c r="U84" i="7"/>
  <c r="I94" i="5"/>
  <c r="N94" i="5"/>
  <c r="M94" i="5"/>
  <c r="S101" i="9"/>
  <c r="L103" i="9"/>
  <c r="V66" i="8"/>
  <c r="S71" i="8"/>
  <c r="O103" i="9"/>
  <c r="I103" i="9"/>
  <c r="V102" i="8"/>
  <c r="G103" i="9"/>
  <c r="S72" i="8"/>
  <c r="V97" i="8"/>
  <c r="S65" i="9"/>
  <c r="V76" i="8"/>
  <c r="F103" i="9"/>
  <c r="S97" i="9"/>
  <c r="E103" i="8"/>
  <c r="L94" i="5"/>
  <c r="J94" i="5"/>
  <c r="H103" i="9"/>
  <c r="G94" i="5"/>
  <c r="S102" i="9"/>
  <c r="V101" i="8"/>
  <c r="U96" i="9"/>
  <c r="J103" i="8"/>
  <c r="N103" i="9"/>
  <c r="K103" i="9"/>
  <c r="F94" i="5"/>
  <c r="S76" i="9"/>
  <c r="V71" i="7"/>
  <c r="U71" i="8"/>
  <c r="K94" i="5"/>
  <c r="V72" i="7"/>
  <c r="U72" i="8"/>
  <c r="H94" i="5"/>
  <c r="S77" i="9"/>
  <c r="S96" i="9"/>
  <c r="O94" i="5"/>
  <c r="S66" i="9"/>
  <c r="P94" i="5"/>
  <c r="G22" i="16" l="1"/>
  <c r="H22" i="16" s="1"/>
  <c r="AR64" i="17"/>
  <c r="X64" i="1"/>
  <c r="X88" i="1"/>
  <c r="X87" i="1"/>
  <c r="X86" i="1"/>
  <c r="AD85" i="1"/>
  <c r="U78" i="8"/>
  <c r="V78" i="7"/>
  <c r="S78" i="9"/>
  <c r="U78" i="10" s="1"/>
  <c r="S78" i="8"/>
  <c r="S69" i="7"/>
  <c r="U113" i="10"/>
  <c r="V112" i="10"/>
  <c r="M119" i="6"/>
  <c r="K119" i="6"/>
  <c r="U105" i="9"/>
  <c r="U106" i="9" s="1"/>
  <c r="I112" i="6"/>
  <c r="U101" i="10"/>
  <c r="U97" i="10"/>
  <c r="U98" i="10"/>
  <c r="V93" i="10"/>
  <c r="U83" i="10"/>
  <c r="V76" i="9"/>
  <c r="U71" i="9"/>
  <c r="U68" i="9"/>
  <c r="U72" i="9"/>
  <c r="V65" i="9"/>
  <c r="S64" i="5"/>
  <c r="V113" i="9"/>
  <c r="V111" i="10"/>
  <c r="S113" i="10"/>
  <c r="V98" i="9"/>
  <c r="E94" i="5"/>
  <c r="S98" i="10"/>
  <c r="AA85" i="1"/>
  <c r="U85" i="7"/>
  <c r="AR85" i="17"/>
  <c r="AR80" i="17"/>
  <c r="E86" i="6"/>
  <c r="U80" i="7"/>
  <c r="AA79" i="1"/>
  <c r="AA80" i="1" s="1"/>
  <c r="J106" i="10"/>
  <c r="V83" i="9"/>
  <c r="S83" i="10"/>
  <c r="E106" i="10"/>
  <c r="F106" i="10"/>
  <c r="G106" i="10"/>
  <c r="N106" i="10"/>
  <c r="M106" i="10"/>
  <c r="AD90" i="1"/>
  <c r="AR90" i="17"/>
  <c r="AD87" i="1"/>
  <c r="AR87" i="17"/>
  <c r="AD88" i="1"/>
  <c r="AR88" i="17"/>
  <c r="AD91" i="1"/>
  <c r="AR91" i="17"/>
  <c r="AD86" i="1"/>
  <c r="AR86" i="17"/>
  <c r="I106" i="10"/>
  <c r="K106" i="10"/>
  <c r="U64" i="7"/>
  <c r="AD64" i="1"/>
  <c r="P106" i="10"/>
  <c r="H106" i="10"/>
  <c r="O106" i="10"/>
  <c r="S105" i="9"/>
  <c r="V105" i="8"/>
  <c r="V106" i="8" s="1"/>
  <c r="L106" i="10"/>
  <c r="S106" i="8"/>
  <c r="AA64" i="1"/>
  <c r="V68" i="8"/>
  <c r="S68" i="9"/>
  <c r="V97" i="9"/>
  <c r="V72" i="8"/>
  <c r="U86" i="7"/>
  <c r="AA86" i="1"/>
  <c r="U87" i="7"/>
  <c r="AA87" i="1"/>
  <c r="V71" i="8"/>
  <c r="V101" i="9"/>
  <c r="AA88" i="1"/>
  <c r="U88" i="7"/>
  <c r="J103" i="9"/>
  <c r="AA90" i="1"/>
  <c r="U90" i="7"/>
  <c r="S66" i="10"/>
  <c r="U65" i="10"/>
  <c r="S71" i="9"/>
  <c r="F103" i="10"/>
  <c r="K103" i="10"/>
  <c r="S77" i="10"/>
  <c r="I103" i="10"/>
  <c r="O103" i="10"/>
  <c r="G103" i="10"/>
  <c r="S72" i="9"/>
  <c r="N103" i="10"/>
  <c r="S76" i="10"/>
  <c r="J74" i="5"/>
  <c r="AA91" i="1"/>
  <c r="U91" i="7"/>
  <c r="G74" i="5"/>
  <c r="U102" i="10"/>
  <c r="V102" i="9"/>
  <c r="J103" i="10"/>
  <c r="S94" i="5"/>
  <c r="H103" i="10"/>
  <c r="U96" i="10"/>
  <c r="S65" i="10"/>
  <c r="H74" i="5"/>
  <c r="N74" i="5"/>
  <c r="P103" i="10"/>
  <c r="V96" i="9"/>
  <c r="L74" i="5"/>
  <c r="V66" i="9"/>
  <c r="U66" i="10"/>
  <c r="S96" i="10"/>
  <c r="O74" i="5"/>
  <c r="U77" i="10"/>
  <c r="V77" i="9"/>
  <c r="I74" i="5"/>
  <c r="M103" i="10"/>
  <c r="S102" i="10"/>
  <c r="E74" i="5"/>
  <c r="S97" i="10"/>
  <c r="M74" i="5"/>
  <c r="K74" i="5"/>
  <c r="U76" i="10"/>
  <c r="S101" i="10"/>
  <c r="E103" i="9"/>
  <c r="F74" i="5"/>
  <c r="P74" i="5"/>
  <c r="L103" i="10"/>
  <c r="S78" i="10" l="1"/>
  <c r="V78" i="10" s="1"/>
  <c r="V78" i="8"/>
  <c r="V113" i="10"/>
  <c r="U78" i="9"/>
  <c r="V78" i="9" s="1"/>
  <c r="V69" i="7"/>
  <c r="U69" i="8"/>
  <c r="S69" i="8"/>
  <c r="V105" i="9"/>
  <c r="V106" i="9" s="1"/>
  <c r="K112" i="6"/>
  <c r="V101" i="10"/>
  <c r="V97" i="10"/>
  <c r="V98" i="10"/>
  <c r="V83" i="10"/>
  <c r="U71" i="10"/>
  <c r="U72" i="10"/>
  <c r="U68" i="10"/>
  <c r="S106" i="9"/>
  <c r="U105" i="10"/>
  <c r="U106" i="10" s="1"/>
  <c r="S105" i="10"/>
  <c r="V68" i="9"/>
  <c r="S68" i="10"/>
  <c r="S71" i="10"/>
  <c r="V65" i="10"/>
  <c r="V71" i="9"/>
  <c r="V77" i="10"/>
  <c r="V72" i="9"/>
  <c r="V102" i="10"/>
  <c r="S74" i="5"/>
  <c r="V76" i="10"/>
  <c r="V66" i="10"/>
  <c r="E103" i="10"/>
  <c r="S72" i="10"/>
  <c r="V96" i="10"/>
  <c r="U69" i="9" l="1"/>
  <c r="V69" i="8"/>
  <c r="S69" i="10"/>
  <c r="S69" i="9"/>
  <c r="S106" i="10"/>
  <c r="M112" i="6"/>
  <c r="V68" i="10"/>
  <c r="V71" i="10"/>
  <c r="V72" i="10"/>
  <c r="S85" i="7"/>
  <c r="V105" i="10"/>
  <c r="V106" i="10" s="1"/>
  <c r="S84" i="7"/>
  <c r="S82" i="7"/>
  <c r="S91" i="7"/>
  <c r="S85" i="8"/>
  <c r="V69" i="9" l="1"/>
  <c r="U69" i="10"/>
  <c r="V69" i="10" s="1"/>
  <c r="V85" i="7"/>
  <c r="U84" i="8"/>
  <c r="U85" i="8"/>
  <c r="V85" i="8" s="1"/>
  <c r="V84" i="7"/>
  <c r="S84" i="8"/>
  <c r="S86" i="7"/>
  <c r="S88" i="7"/>
  <c r="S90" i="7"/>
  <c r="S87" i="7"/>
  <c r="S82" i="8"/>
  <c r="V82" i="7"/>
  <c r="U82" i="8"/>
  <c r="U85" i="9"/>
  <c r="U91" i="8"/>
  <c r="V91" i="7"/>
  <c r="S85" i="9"/>
  <c r="U88" i="8" l="1"/>
  <c r="U90" i="8"/>
  <c r="V87" i="7"/>
  <c r="U86" i="8"/>
  <c r="U84" i="9"/>
  <c r="U82" i="9"/>
  <c r="V86" i="7"/>
  <c r="V84" i="8"/>
  <c r="S88" i="8"/>
  <c r="V88" i="7"/>
  <c r="S84" i="9"/>
  <c r="S86" i="8"/>
  <c r="U87" i="8"/>
  <c r="V90" i="7"/>
  <c r="S82" i="9"/>
  <c r="S87" i="8"/>
  <c r="V82" i="8"/>
  <c r="S90" i="8"/>
  <c r="V85" i="9"/>
  <c r="S85" i="10"/>
  <c r="U85" i="10"/>
  <c r="S91" i="8"/>
  <c r="V91" i="8" l="1"/>
  <c r="U88" i="9"/>
  <c r="U87" i="9"/>
  <c r="U90" i="9"/>
  <c r="U86" i="9"/>
  <c r="U84" i="10"/>
  <c r="V82" i="9"/>
  <c r="V88" i="8"/>
  <c r="V86" i="8"/>
  <c r="V84" i="9"/>
  <c r="S84" i="10"/>
  <c r="S88" i="9"/>
  <c r="S86" i="9"/>
  <c r="U82" i="10"/>
  <c r="V87" i="8"/>
  <c r="S87" i="9"/>
  <c r="S82" i="10"/>
  <c r="S90" i="9"/>
  <c r="V90" i="8"/>
  <c r="S91" i="10"/>
  <c r="S91" i="9"/>
  <c r="U91" i="9"/>
  <c r="V85" i="10"/>
  <c r="U90" i="10" l="1"/>
  <c r="V84" i="10"/>
  <c r="V88" i="9"/>
  <c r="V82" i="10"/>
  <c r="U88" i="10"/>
  <c r="S88" i="10"/>
  <c r="S86" i="10"/>
  <c r="S87" i="10"/>
  <c r="U86" i="10"/>
  <c r="V86" i="9"/>
  <c r="S90" i="10"/>
  <c r="U87" i="10"/>
  <c r="V87" i="9"/>
  <c r="V90" i="9"/>
  <c r="V91" i="9"/>
  <c r="U91" i="10"/>
  <c r="V90" i="10" l="1"/>
  <c r="V88" i="10"/>
  <c r="V86" i="10"/>
  <c r="V87" i="10"/>
  <c r="V91" i="10"/>
  <c r="G47" i="6"/>
  <c r="G158" i="6" s="1"/>
  <c r="I47" i="6"/>
  <c r="I158" i="6" s="1"/>
  <c r="K47" i="6"/>
  <c r="K158" i="6" s="1"/>
  <c r="M47" i="6"/>
  <c r="M158" i="6" s="1"/>
  <c r="S33" i="7" l="1"/>
  <c r="U33" i="8" s="1"/>
  <c r="S40" i="7"/>
  <c r="V40" i="7" s="1"/>
  <c r="S40" i="10"/>
  <c r="O41" i="10"/>
  <c r="S39" i="7"/>
  <c r="V39" i="7" s="1"/>
  <c r="S38" i="8"/>
  <c r="U38" i="9" s="1"/>
  <c r="S38" i="7"/>
  <c r="V38" i="7" s="1"/>
  <c r="S38" i="10"/>
  <c r="S38" i="9"/>
  <c r="U38" i="10" s="1"/>
  <c r="S37" i="7"/>
  <c r="V37" i="7" s="1"/>
  <c r="S36" i="10"/>
  <c r="S36" i="8"/>
  <c r="U36" i="9" s="1"/>
  <c r="S36" i="7"/>
  <c r="V36" i="7" s="1"/>
  <c r="S36" i="9"/>
  <c r="U36" i="10" s="1"/>
  <c r="S35" i="7"/>
  <c r="U35" i="8" s="1"/>
  <c r="K41" i="10"/>
  <c r="S34" i="7"/>
  <c r="S32" i="7"/>
  <c r="P41" i="9"/>
  <c r="P41" i="10"/>
  <c r="S31" i="8"/>
  <c r="U31" i="9" s="1"/>
  <c r="K41" i="7"/>
  <c r="I41" i="8"/>
  <c r="S31" i="10"/>
  <c r="K41" i="9"/>
  <c r="M41" i="8"/>
  <c r="O41" i="8"/>
  <c r="J41" i="8"/>
  <c r="M41" i="7"/>
  <c r="N41" i="7"/>
  <c r="M41" i="10"/>
  <c r="H41" i="7"/>
  <c r="N41" i="10"/>
  <c r="I41" i="9"/>
  <c r="L41" i="7"/>
  <c r="S31" i="9"/>
  <c r="N41" i="9"/>
  <c r="M41" i="9"/>
  <c r="P41" i="7"/>
  <c r="G41" i="7"/>
  <c r="L41" i="8"/>
  <c r="L41" i="10"/>
  <c r="E41" i="7"/>
  <c r="L41" i="9"/>
  <c r="P41" i="8"/>
  <c r="J41" i="10"/>
  <c r="I41" i="10"/>
  <c r="S31" i="7"/>
  <c r="N41" i="8"/>
  <c r="O41" i="7"/>
  <c r="J41" i="7"/>
  <c r="O41" i="9"/>
  <c r="F41" i="7"/>
  <c r="J41" i="9"/>
  <c r="K41" i="8"/>
  <c r="I41" i="7"/>
  <c r="U37" i="8" l="1"/>
  <c r="V33" i="7"/>
  <c r="F41" i="8"/>
  <c r="U38" i="8"/>
  <c r="V38" i="8" s="1"/>
  <c r="V36" i="10"/>
  <c r="V38" i="10"/>
  <c r="S40" i="8"/>
  <c r="U40" i="9" s="1"/>
  <c r="S40" i="9"/>
  <c r="U40" i="10" s="1"/>
  <c r="V40" i="10" s="1"/>
  <c r="E41" i="8"/>
  <c r="U34" i="8"/>
  <c r="V34" i="7"/>
  <c r="V35" i="7"/>
  <c r="U39" i="8"/>
  <c r="U36" i="8"/>
  <c r="V36" i="8" s="1"/>
  <c r="U40" i="8"/>
  <c r="S32" i="8"/>
  <c r="U32" i="9" s="1"/>
  <c r="S34" i="8"/>
  <c r="U34" i="9" s="1"/>
  <c r="S35" i="8"/>
  <c r="U35" i="9" s="1"/>
  <c r="H41" i="8"/>
  <c r="S33" i="8"/>
  <c r="U33" i="9" s="1"/>
  <c r="S37" i="8"/>
  <c r="U37" i="9" s="1"/>
  <c r="S39" i="8"/>
  <c r="U39" i="9" s="1"/>
  <c r="V38" i="9"/>
  <c r="V36" i="9"/>
  <c r="G41" i="8"/>
  <c r="U32" i="8"/>
  <c r="V32" i="7"/>
  <c r="U31" i="8"/>
  <c r="V31" i="7"/>
  <c r="S41" i="7"/>
  <c r="U31" i="10"/>
  <c r="V31" i="9"/>
  <c r="V32" i="8" l="1"/>
  <c r="V33" i="8"/>
  <c r="V40" i="8"/>
  <c r="S52" i="7"/>
  <c r="S49" i="7"/>
  <c r="V40" i="9"/>
  <c r="S55" i="7"/>
  <c r="V35" i="8"/>
  <c r="V34" i="8"/>
  <c r="U41" i="9"/>
  <c r="V39" i="8"/>
  <c r="S34" i="9"/>
  <c r="U34" i="10" s="1"/>
  <c r="S34" i="10"/>
  <c r="S33" i="9"/>
  <c r="V33" i="9" s="1"/>
  <c r="S33" i="10"/>
  <c r="F41" i="10"/>
  <c r="S39" i="10"/>
  <c r="S37" i="9"/>
  <c r="U37" i="10" s="1"/>
  <c r="S37" i="10"/>
  <c r="S35" i="10"/>
  <c r="H41" i="10"/>
  <c r="S32" i="10"/>
  <c r="S41" i="8"/>
  <c r="V37" i="8"/>
  <c r="F41" i="9"/>
  <c r="S39" i="9"/>
  <c r="U39" i="10" s="1"/>
  <c r="E41" i="9"/>
  <c r="S32" i="9"/>
  <c r="V32" i="9" s="1"/>
  <c r="H41" i="9"/>
  <c r="G41" i="9"/>
  <c r="S35" i="9"/>
  <c r="S54" i="7"/>
  <c r="S48" i="7"/>
  <c r="S51" i="7"/>
  <c r="S50" i="7"/>
  <c r="S53" i="7"/>
  <c r="S47" i="7"/>
  <c r="V41" i="7"/>
  <c r="U41" i="8"/>
  <c r="V31" i="8"/>
  <c r="V31" i="10"/>
  <c r="U52" i="8" l="1"/>
  <c r="U50" i="8"/>
  <c r="V55" i="7"/>
  <c r="U53" i="8"/>
  <c r="U49" i="8"/>
  <c r="U33" i="10"/>
  <c r="V33" i="10" s="1"/>
  <c r="V49" i="7"/>
  <c r="V39" i="9"/>
  <c r="U55" i="8"/>
  <c r="S54" i="8"/>
  <c r="V52" i="7"/>
  <c r="S51" i="8"/>
  <c r="S48" i="8"/>
  <c r="V34" i="9"/>
  <c r="G41" i="10"/>
  <c r="U47" i="8"/>
  <c r="V47" i="7"/>
  <c r="V50" i="7"/>
  <c r="S53" i="8"/>
  <c r="V39" i="10"/>
  <c r="E41" i="10"/>
  <c r="V37" i="10"/>
  <c r="V37" i="9"/>
  <c r="S41" i="10"/>
  <c r="V34" i="10"/>
  <c r="S50" i="8"/>
  <c r="S49" i="8"/>
  <c r="U35" i="10"/>
  <c r="V35" i="10" s="1"/>
  <c r="S52" i="8"/>
  <c r="U32" i="10"/>
  <c r="S41" i="9"/>
  <c r="V35" i="9"/>
  <c r="S55" i="8"/>
  <c r="S47" i="8"/>
  <c r="V53" i="7"/>
  <c r="U51" i="8"/>
  <c r="V51" i="7"/>
  <c r="U48" i="8"/>
  <c r="V48" i="7"/>
  <c r="V54" i="7"/>
  <c r="U54" i="8"/>
  <c r="V41" i="8"/>
  <c r="V50" i="8" l="1"/>
  <c r="V53" i="8"/>
  <c r="U54" i="9"/>
  <c r="V51" i="8"/>
  <c r="V48" i="8"/>
  <c r="U53" i="9"/>
  <c r="V54" i="8"/>
  <c r="U51" i="9"/>
  <c r="U48" i="9"/>
  <c r="V41" i="9"/>
  <c r="S53" i="10"/>
  <c r="S51" i="10"/>
  <c r="S54" i="10"/>
  <c r="S49" i="10"/>
  <c r="S55" i="10"/>
  <c r="S48" i="10"/>
  <c r="S50" i="10"/>
  <c r="S47" i="10"/>
  <c r="S52" i="10"/>
  <c r="S48" i="9"/>
  <c r="S49" i="9"/>
  <c r="S54" i="9"/>
  <c r="S53" i="9"/>
  <c r="S51" i="9"/>
  <c r="S50" i="9"/>
  <c r="S47" i="9"/>
  <c r="S55" i="9"/>
  <c r="S52" i="9"/>
  <c r="U55" i="9"/>
  <c r="V55" i="8"/>
  <c r="U52" i="9"/>
  <c r="V52" i="8"/>
  <c r="V32" i="10"/>
  <c r="V41" i="10" s="1"/>
  <c r="U41" i="10"/>
  <c r="U47" i="9"/>
  <c r="U50" i="9"/>
  <c r="U49" i="9"/>
  <c r="V49" i="8"/>
  <c r="V47" i="8"/>
  <c r="U47" i="10" l="1"/>
  <c r="V47" i="10" s="1"/>
  <c r="U53" i="10"/>
  <c r="V53" i="10" s="1"/>
  <c r="U54" i="10"/>
  <c r="V54" i="10" s="1"/>
  <c r="V49" i="9"/>
  <c r="U51" i="10"/>
  <c r="V51" i="10" s="1"/>
  <c r="V54" i="9"/>
  <c r="V52" i="9"/>
  <c r="V48" i="9"/>
  <c r="U48" i="10"/>
  <c r="V48" i="10" s="1"/>
  <c r="V51" i="9"/>
  <c r="V50" i="9"/>
  <c r="V53" i="9"/>
  <c r="V47" i="9"/>
  <c r="U49" i="10"/>
  <c r="V49" i="10" s="1"/>
  <c r="U50" i="10"/>
  <c r="V50" i="10" s="1"/>
  <c r="V55" i="9"/>
  <c r="U52" i="10"/>
  <c r="V52" i="10" s="1"/>
  <c r="U55" i="10"/>
  <c r="V55" i="10" s="1"/>
  <c r="K160" i="3" l="1"/>
  <c r="F59" i="7" l="1"/>
  <c r="F59" i="8" s="1"/>
  <c r="F59" i="9" s="1"/>
  <c r="F59" i="10" s="1"/>
  <c r="E59" i="7"/>
  <c r="E59" i="8" s="1"/>
  <c r="E59" i="9" s="1"/>
  <c r="E59" i="10" s="1"/>
  <c r="O59" i="7"/>
  <c r="O59" i="8" s="1"/>
  <c r="O59" i="9" s="1"/>
  <c r="O59" i="10" s="1"/>
  <c r="N59" i="7"/>
  <c r="N59" i="8" s="1"/>
  <c r="N59" i="9" s="1"/>
  <c r="N59" i="10" s="1"/>
  <c r="M59" i="7"/>
  <c r="M59" i="8" s="1"/>
  <c r="M59" i="9" s="1"/>
  <c r="M59" i="10" s="1"/>
  <c r="L59" i="7"/>
  <c r="L59" i="8" s="1"/>
  <c r="L59" i="9" s="1"/>
  <c r="L59" i="10" s="1"/>
  <c r="H59" i="7"/>
  <c r="H59" i="8" s="1"/>
  <c r="H59" i="9" s="1"/>
  <c r="H59" i="10" s="1"/>
  <c r="G59" i="7"/>
  <c r="G59" i="8" s="1"/>
  <c r="G59" i="9" s="1"/>
  <c r="G59" i="10" s="1"/>
  <c r="K59" i="7"/>
  <c r="K59" i="8" s="1"/>
  <c r="K59" i="9" s="1"/>
  <c r="K59" i="10" s="1"/>
  <c r="I59" i="7"/>
  <c r="I59" i="8" s="1"/>
  <c r="I59" i="9" s="1"/>
  <c r="I59" i="10" s="1"/>
  <c r="J59" i="7"/>
  <c r="J59" i="8" s="1"/>
  <c r="J59" i="9" s="1"/>
  <c r="J59" i="10" s="1"/>
  <c r="F43" i="7"/>
  <c r="F43" i="8" s="1"/>
  <c r="F43" i="9" s="1"/>
  <c r="F43" i="10" s="1"/>
  <c r="O43" i="7"/>
  <c r="O43" i="8" s="1"/>
  <c r="O43" i="9" s="1"/>
  <c r="O43" i="10" s="1"/>
  <c r="H43" i="7"/>
  <c r="H43" i="8" s="1"/>
  <c r="H43" i="9" s="1"/>
  <c r="H43" i="10" s="1"/>
  <c r="G43" i="7"/>
  <c r="G43" i="8" s="1"/>
  <c r="G43" i="9" s="1"/>
  <c r="G43" i="10" s="1"/>
  <c r="N43" i="7"/>
  <c r="N43" i="8" s="1"/>
  <c r="N43" i="9" s="1"/>
  <c r="N43" i="10" s="1"/>
  <c r="M43" i="7"/>
  <c r="M43" i="8" s="1"/>
  <c r="M43" i="9" s="1"/>
  <c r="M43" i="10" s="1"/>
  <c r="I43" i="7"/>
  <c r="I43" i="8" s="1"/>
  <c r="I43" i="9" s="1"/>
  <c r="I43" i="10" s="1"/>
  <c r="L43" i="7"/>
  <c r="L43" i="8" s="1"/>
  <c r="L43" i="9" s="1"/>
  <c r="L43" i="10" s="1"/>
  <c r="K43" i="7"/>
  <c r="K43" i="8" s="1"/>
  <c r="K43" i="9" s="1"/>
  <c r="K43" i="10" s="1"/>
  <c r="J43" i="7"/>
  <c r="J43" i="8" s="1"/>
  <c r="J43" i="9" s="1"/>
  <c r="J43" i="10" s="1"/>
  <c r="E43" i="7"/>
  <c r="E43" i="8" s="1"/>
  <c r="E43" i="9" s="1"/>
  <c r="E43" i="10" s="1"/>
  <c r="K163" i="3"/>
  <c r="K164" i="3" s="1"/>
  <c r="P43" i="7" l="1"/>
  <c r="P43" i="8" s="1"/>
  <c r="P43" i="9" s="1"/>
  <c r="P43" i="10" s="1"/>
  <c r="P59" i="7"/>
  <c r="P59" i="8" s="1"/>
  <c r="P59" i="9" s="1"/>
  <c r="P59" i="10" s="1"/>
  <c r="P62" i="1"/>
  <c r="S59" i="1"/>
  <c r="S43" i="1"/>
  <c r="X43" i="1" s="1"/>
  <c r="AG138" i="3" s="1"/>
  <c r="AH138" i="3" s="1"/>
  <c r="X59" i="1" l="1"/>
  <c r="AG160" i="3" s="1"/>
  <c r="AH160" i="3" s="1"/>
  <c r="J46" i="7"/>
  <c r="J46" i="8" s="1"/>
  <c r="J46" i="9" s="1"/>
  <c r="J46" i="10" s="1"/>
  <c r="E46" i="7"/>
  <c r="E62" i="5"/>
  <c r="E115" i="5" s="1"/>
  <c r="E117" i="5" s="1"/>
  <c r="E120" i="5" s="1"/>
  <c r="E138" i="5" s="1"/>
  <c r="E141" i="5" s="1"/>
  <c r="F139" i="5" s="1"/>
  <c r="S46" i="1"/>
  <c r="K46" i="7"/>
  <c r="K46" i="8" s="1"/>
  <c r="K46" i="9" s="1"/>
  <c r="K46" i="10" s="1"/>
  <c r="K62" i="5"/>
  <c r="K115" i="5" s="1"/>
  <c r="K117" i="5" s="1"/>
  <c r="K120" i="5" s="1"/>
  <c r="K138" i="5" s="1"/>
  <c r="L46" i="7"/>
  <c r="L46" i="8" s="1"/>
  <c r="L46" i="9" s="1"/>
  <c r="L46" i="10" s="1"/>
  <c r="M46" i="7"/>
  <c r="M46" i="8" s="1"/>
  <c r="M46" i="9" s="1"/>
  <c r="M46" i="10" s="1"/>
  <c r="M62" i="5"/>
  <c r="M115" i="5" s="1"/>
  <c r="M117" i="5" s="1"/>
  <c r="M120" i="5" s="1"/>
  <c r="M138" i="5" s="1"/>
  <c r="F46" i="7"/>
  <c r="F46" i="8" s="1"/>
  <c r="F46" i="9" s="1"/>
  <c r="F46" i="10" s="1"/>
  <c r="F62" i="5"/>
  <c r="F115" i="5" s="1"/>
  <c r="F117" i="5" s="1"/>
  <c r="F120" i="5" s="1"/>
  <c r="F138" i="5" s="1"/>
  <c r="H46" i="7"/>
  <c r="H46" i="8" s="1"/>
  <c r="H46" i="9" s="1"/>
  <c r="H46" i="10" s="1"/>
  <c r="H62" i="5"/>
  <c r="H115" i="5" s="1"/>
  <c r="H117" i="5" s="1"/>
  <c r="H120" i="5" s="1"/>
  <c r="H138" i="5" s="1"/>
  <c r="N46" i="7"/>
  <c r="N46" i="8" s="1"/>
  <c r="N46" i="9" s="1"/>
  <c r="N46" i="10" s="1"/>
  <c r="N62" i="5"/>
  <c r="N115" i="5" s="1"/>
  <c r="N117" i="5" s="1"/>
  <c r="N120" i="5" s="1"/>
  <c r="N138" i="5" s="1"/>
  <c r="O46" i="7"/>
  <c r="O46" i="8" s="1"/>
  <c r="O46" i="9" s="1"/>
  <c r="O46" i="10" s="1"/>
  <c r="O62" i="5"/>
  <c r="O115" i="5" s="1"/>
  <c r="O117" i="5" s="1"/>
  <c r="O120" i="5" s="1"/>
  <c r="O138" i="5" s="1"/>
  <c r="G46" i="7"/>
  <c r="G46" i="8" s="1"/>
  <c r="G46" i="9" s="1"/>
  <c r="G46" i="10" s="1"/>
  <c r="G62" i="5"/>
  <c r="G115" i="5" s="1"/>
  <c r="G117" i="5" s="1"/>
  <c r="G120" i="5" s="1"/>
  <c r="G138" i="5" s="1"/>
  <c r="P46" i="7"/>
  <c r="P46" i="8" s="1"/>
  <c r="P46" i="9" s="1"/>
  <c r="P46" i="10" s="1"/>
  <c r="P62" i="5"/>
  <c r="P115" i="5" s="1"/>
  <c r="P117" i="5" s="1"/>
  <c r="P120" i="5" s="1"/>
  <c r="P138" i="5" s="1"/>
  <c r="I46" i="7"/>
  <c r="I46" i="8" s="1"/>
  <c r="I46" i="9" s="1"/>
  <c r="I46" i="10" s="1"/>
  <c r="I62" i="5"/>
  <c r="I115" i="5" s="1"/>
  <c r="I117" i="5" s="1"/>
  <c r="I120" i="5" s="1"/>
  <c r="I138" i="5" s="1"/>
  <c r="S43" i="7"/>
  <c r="S59" i="7"/>
  <c r="S43" i="5"/>
  <c r="L62" i="5"/>
  <c r="L115" i="5" s="1"/>
  <c r="L117" i="5" s="1"/>
  <c r="L120" i="5" s="1"/>
  <c r="L138" i="5" s="1"/>
  <c r="J62" i="5"/>
  <c r="J115" i="5" s="1"/>
  <c r="J117" i="5" s="1"/>
  <c r="J120" i="5" s="1"/>
  <c r="J138" i="5" s="1"/>
  <c r="AD43" i="1"/>
  <c r="U43" i="7"/>
  <c r="AA59" i="1"/>
  <c r="AD59" i="1"/>
  <c r="U59" i="7"/>
  <c r="S62" i="1" l="1"/>
  <c r="O46" i="17"/>
  <c r="U62" i="1"/>
  <c r="E23" i="11" s="1"/>
  <c r="X46" i="1"/>
  <c r="M62" i="7"/>
  <c r="N62" i="7"/>
  <c r="L62" i="8"/>
  <c r="L62" i="7"/>
  <c r="H62" i="7"/>
  <c r="P62" i="7"/>
  <c r="G62" i="8"/>
  <c r="F62" i="7"/>
  <c r="I62" i="7"/>
  <c r="G62" i="7"/>
  <c r="O62" i="7"/>
  <c r="M62" i="8"/>
  <c r="J62" i="7"/>
  <c r="AD46" i="1"/>
  <c r="AD62" i="1" s="1"/>
  <c r="U46" i="7"/>
  <c r="U62" i="7" s="1"/>
  <c r="S62" i="5"/>
  <c r="E42" i="16" s="1"/>
  <c r="E46" i="8"/>
  <c r="S46" i="7"/>
  <c r="U46" i="8" s="1"/>
  <c r="E62" i="7"/>
  <c r="K62" i="7"/>
  <c r="V59" i="7"/>
  <c r="U43" i="8"/>
  <c r="S59" i="9"/>
  <c r="I62" i="8"/>
  <c r="J62" i="8"/>
  <c r="S59" i="8"/>
  <c r="M62" i="10"/>
  <c r="M62" i="9"/>
  <c r="P62" i="8"/>
  <c r="N62" i="8"/>
  <c r="U59" i="8"/>
  <c r="G62" i="10"/>
  <c r="G62" i="9"/>
  <c r="O62" i="8"/>
  <c r="L62" i="10"/>
  <c r="L62" i="9"/>
  <c r="F62" i="8"/>
  <c r="H62" i="8"/>
  <c r="S43" i="8"/>
  <c r="K62" i="8"/>
  <c r="F141" i="5"/>
  <c r="G139" i="5" s="1"/>
  <c r="G141" i="5" s="1"/>
  <c r="H139" i="5" s="1"/>
  <c r="H141" i="5" s="1"/>
  <c r="I139" i="5" s="1"/>
  <c r="I141" i="5" s="1"/>
  <c r="J139" i="5" s="1"/>
  <c r="J141" i="5" s="1"/>
  <c r="K139" i="5" s="1"/>
  <c r="K141" i="5" s="1"/>
  <c r="L139" i="5" s="1"/>
  <c r="L141" i="5" s="1"/>
  <c r="M139" i="5" s="1"/>
  <c r="M141" i="5" s="1"/>
  <c r="N139" i="5" s="1"/>
  <c r="N141" i="5" s="1"/>
  <c r="O139" i="5" s="1"/>
  <c r="O141" i="5" s="1"/>
  <c r="P139" i="5" s="1"/>
  <c r="P141" i="5" s="1"/>
  <c r="F62" i="17"/>
  <c r="AP43" i="17"/>
  <c r="AP59" i="17"/>
  <c r="AR59" i="17" s="1"/>
  <c r="AA43" i="1"/>
  <c r="V43" i="7"/>
  <c r="G266" i="18" l="1"/>
  <c r="F266" i="18" s="1"/>
  <c r="O62" i="17"/>
  <c r="O115" i="17" s="1"/>
  <c r="O117" i="17" s="1"/>
  <c r="J23" i="11"/>
  <c r="G20" i="16"/>
  <c r="AG142" i="3"/>
  <c r="AH142" i="3" s="1"/>
  <c r="X62" i="1"/>
  <c r="G23" i="11"/>
  <c r="F37" i="11"/>
  <c r="E68" i="6"/>
  <c r="E159" i="6" s="1"/>
  <c r="S62" i="7"/>
  <c r="G68" i="6"/>
  <c r="G159" i="6" s="1"/>
  <c r="E46" i="9"/>
  <c r="S46" i="8"/>
  <c r="U46" i="9" s="1"/>
  <c r="E62" i="8"/>
  <c r="V46" i="7"/>
  <c r="V62" i="7" s="1"/>
  <c r="AA46" i="1"/>
  <c r="AA62" i="1" s="1"/>
  <c r="U62" i="8"/>
  <c r="V43" i="8"/>
  <c r="H62" i="10"/>
  <c r="H62" i="9"/>
  <c r="N62" i="10"/>
  <c r="N62" i="9"/>
  <c r="P62" i="10"/>
  <c r="P62" i="9"/>
  <c r="F62" i="10"/>
  <c r="F62" i="9"/>
  <c r="U59" i="10"/>
  <c r="U59" i="9"/>
  <c r="V59" i="9" s="1"/>
  <c r="O62" i="10"/>
  <c r="O62" i="9"/>
  <c r="J62" i="10"/>
  <c r="J62" i="9"/>
  <c r="S43" i="9"/>
  <c r="K62" i="10"/>
  <c r="K62" i="9"/>
  <c r="V59" i="8"/>
  <c r="U43" i="9"/>
  <c r="I62" i="10"/>
  <c r="I62" i="9"/>
  <c r="S115" i="5"/>
  <c r="S117" i="5" s="1"/>
  <c r="AR43" i="17"/>
  <c r="F115" i="17"/>
  <c r="E39" i="16" l="1"/>
  <c r="K23" i="11"/>
  <c r="I43" i="11"/>
  <c r="H20" i="16"/>
  <c r="S62" i="8"/>
  <c r="N62" i="17"/>
  <c r="N115" i="17" s="1"/>
  <c r="N117" i="17" s="1"/>
  <c r="AP46" i="17"/>
  <c r="V46" i="8"/>
  <c r="V62" i="8" s="1"/>
  <c r="E46" i="10"/>
  <c r="S46" i="9"/>
  <c r="U46" i="10" s="1"/>
  <c r="E62" i="9"/>
  <c r="S43" i="10"/>
  <c r="K68" i="6"/>
  <c r="K159" i="6" s="1"/>
  <c r="U43" i="10"/>
  <c r="S59" i="10"/>
  <c r="V43" i="9"/>
  <c r="U62" i="9"/>
  <c r="I68" i="6"/>
  <c r="I159" i="6" s="1"/>
  <c r="F117" i="17"/>
  <c r="S62" i="9" l="1"/>
  <c r="S46" i="10"/>
  <c r="S62" i="10" s="1"/>
  <c r="E62" i="10"/>
  <c r="V46" i="9"/>
  <c r="V62" i="9" s="1"/>
  <c r="AR46" i="17"/>
  <c r="AP62" i="17"/>
  <c r="AR62" i="17" s="1"/>
  <c r="V43" i="10"/>
  <c r="U62" i="10"/>
  <c r="M68" i="6"/>
  <c r="M159" i="6" s="1"/>
  <c r="V59" i="10"/>
  <c r="V46" i="10" l="1"/>
  <c r="V62" i="10" s="1"/>
  <c r="L80" i="7"/>
  <c r="P80" i="7"/>
  <c r="G80" i="7"/>
  <c r="M80" i="7"/>
  <c r="J80" i="7"/>
  <c r="G80" i="8" l="1"/>
  <c r="K80" i="8"/>
  <c r="E80" i="8"/>
  <c r="H80" i="9"/>
  <c r="H80" i="7"/>
  <c r="I80" i="8"/>
  <c r="I80" i="7"/>
  <c r="F80" i="7"/>
  <c r="O80" i="7"/>
  <c r="E80" i="7"/>
  <c r="L80" i="9"/>
  <c r="K80" i="7"/>
  <c r="S79" i="7"/>
  <c r="N80" i="7"/>
  <c r="L80" i="8"/>
  <c r="H80" i="8" l="1"/>
  <c r="H80" i="10"/>
  <c r="P80" i="10"/>
  <c r="J80" i="8"/>
  <c r="J80" i="9"/>
  <c r="P80" i="8"/>
  <c r="S79" i="8"/>
  <c r="S80" i="8" s="1"/>
  <c r="G80" i="9"/>
  <c r="O80" i="8"/>
  <c r="F80" i="8"/>
  <c r="L80" i="10"/>
  <c r="V79" i="7"/>
  <c r="S80" i="7"/>
  <c r="U79" i="8"/>
  <c r="K80" i="9"/>
  <c r="M80" i="8"/>
  <c r="N80" i="8"/>
  <c r="E80" i="9"/>
  <c r="I80" i="9"/>
  <c r="U79" i="9" l="1"/>
  <c r="U80" i="9" s="1"/>
  <c r="I86" i="6"/>
  <c r="J80" i="10"/>
  <c r="P80" i="9"/>
  <c r="E80" i="10"/>
  <c r="O80" i="9"/>
  <c r="I80" i="10"/>
  <c r="M80" i="9"/>
  <c r="F80" i="9"/>
  <c r="N80" i="9"/>
  <c r="K80" i="10"/>
  <c r="G80" i="10"/>
  <c r="V79" i="8"/>
  <c r="U80" i="8"/>
  <c r="G86" i="6"/>
  <c r="V80" i="7"/>
  <c r="S79" i="9"/>
  <c r="V79" i="9" l="1"/>
  <c r="V80" i="9" s="1"/>
  <c r="S79" i="10"/>
  <c r="S80" i="10" s="1"/>
  <c r="M80" i="10"/>
  <c r="U79" i="10"/>
  <c r="S80" i="9"/>
  <c r="O80" i="10"/>
  <c r="F80" i="10"/>
  <c r="N80" i="10"/>
  <c r="V80" i="8"/>
  <c r="M86" i="6" l="1"/>
  <c r="K86" i="6"/>
  <c r="V79" i="10"/>
  <c r="U80" i="10"/>
  <c r="V80" i="10" l="1"/>
  <c r="S64" i="8" l="1"/>
  <c r="S64" i="7"/>
  <c r="S64" i="9" l="1"/>
  <c r="V64" i="7"/>
  <c r="U64" i="8"/>
  <c r="U64" i="9"/>
  <c r="V64" i="9" l="1"/>
  <c r="V64" i="8"/>
  <c r="S64" i="10"/>
  <c r="U64" i="10"/>
  <c r="V64" i="10" l="1"/>
  <c r="S70" i="8" l="1"/>
  <c r="S70" i="7"/>
  <c r="U70" i="9" l="1"/>
  <c r="V70" i="7"/>
  <c r="U70" i="8"/>
  <c r="S70" i="9"/>
  <c r="U70" i="10" l="1"/>
  <c r="V70" i="8"/>
  <c r="V70" i="9"/>
  <c r="S70" i="10"/>
  <c r="V70" i="10" l="1"/>
  <c r="S15" i="7" l="1"/>
  <c r="V15" i="7" s="1"/>
  <c r="U15" i="8" l="1"/>
  <c r="S15" i="8"/>
  <c r="U15" i="9" l="1"/>
  <c r="V15" i="8"/>
  <c r="S15" i="9"/>
  <c r="U15" i="10" l="1"/>
  <c r="V15" i="9"/>
  <c r="S15" i="10"/>
  <c r="S92" i="7" l="1"/>
  <c r="S92" i="8"/>
  <c r="V15" i="10"/>
  <c r="V92" i="7" l="1"/>
  <c r="U92" i="8"/>
  <c r="V92" i="8" s="1"/>
  <c r="S92" i="9"/>
  <c r="U92" i="10" s="1"/>
  <c r="U92" i="9"/>
  <c r="V92" i="9" l="1"/>
  <c r="S92" i="10" l="1"/>
  <c r="G109" i="6"/>
  <c r="M109" i="6"/>
  <c r="I109" i="6"/>
  <c r="K109" i="6"/>
  <c r="S99" i="7"/>
  <c r="V92" i="10" l="1"/>
  <c r="S99" i="8"/>
  <c r="U99" i="9" s="1"/>
  <c r="S100" i="8"/>
  <c r="U100" i="9" s="1"/>
  <c r="U99" i="8"/>
  <c r="V99" i="7"/>
  <c r="S100" i="7"/>
  <c r="S100" i="10" l="1"/>
  <c r="S100" i="9"/>
  <c r="U100" i="10" s="1"/>
  <c r="U100" i="8"/>
  <c r="V100" i="8" s="1"/>
  <c r="V100" i="7"/>
  <c r="V103" i="7" s="1"/>
  <c r="U103" i="9"/>
  <c r="V99" i="8"/>
  <c r="S103" i="7"/>
  <c r="S103" i="8"/>
  <c r="S99" i="10" l="1"/>
  <c r="S99" i="9"/>
  <c r="V99" i="9" s="1"/>
  <c r="V100" i="10"/>
  <c r="U103" i="8"/>
  <c r="V103" i="8"/>
  <c r="V100" i="9"/>
  <c r="S103" i="9" l="1"/>
  <c r="U99" i="10"/>
  <c r="U103" i="10" s="1"/>
  <c r="S103" i="10"/>
  <c r="V103" i="9"/>
  <c r="V99" i="10" l="1"/>
  <c r="V103" i="10" s="1"/>
  <c r="F34" i="16" l="1"/>
  <c r="F89" i="1"/>
  <c r="K89" i="1"/>
  <c r="E89" i="1"/>
  <c r="G89" i="1"/>
  <c r="I89" i="1"/>
  <c r="J89" i="1"/>
  <c r="L89" i="1"/>
  <c r="O89" i="1"/>
  <c r="M89" i="1"/>
  <c r="N89" i="1" l="1"/>
  <c r="O94" i="1"/>
  <c r="L94" i="1"/>
  <c r="L89" i="7"/>
  <c r="I94" i="1"/>
  <c r="I89" i="7"/>
  <c r="M94" i="1"/>
  <c r="G94" i="1"/>
  <c r="G89" i="7"/>
  <c r="E94" i="1"/>
  <c r="E89" i="7"/>
  <c r="K94" i="1"/>
  <c r="K89" i="7"/>
  <c r="J94" i="1"/>
  <c r="J89" i="7"/>
  <c r="F94" i="1"/>
  <c r="F89" i="7"/>
  <c r="O89" i="7"/>
  <c r="Q94" i="17"/>
  <c r="Q115" i="17" s="1"/>
  <c r="Q117" i="17" s="1"/>
  <c r="M89" i="7"/>
  <c r="K89" i="8" l="1"/>
  <c r="K94" i="7"/>
  <c r="G89" i="8"/>
  <c r="G94" i="7"/>
  <c r="J89" i="8"/>
  <c r="J94" i="7"/>
  <c r="F89" i="8"/>
  <c r="F94" i="7"/>
  <c r="E89" i="8"/>
  <c r="E94" i="7"/>
  <c r="I89" i="8"/>
  <c r="I94" i="7"/>
  <c r="L89" i="8"/>
  <c r="L94" i="7"/>
  <c r="N94" i="1"/>
  <c r="N89" i="7"/>
  <c r="O89" i="8"/>
  <c r="O94" i="7"/>
  <c r="M94" i="7"/>
  <c r="M89" i="8"/>
  <c r="E89" i="9" l="1"/>
  <c r="E94" i="8"/>
  <c r="L89" i="9"/>
  <c r="L94" i="8"/>
  <c r="N89" i="8"/>
  <c r="N94" i="7"/>
  <c r="F89" i="9"/>
  <c r="F94" i="8"/>
  <c r="J89" i="9"/>
  <c r="J94" i="8"/>
  <c r="I89" i="9"/>
  <c r="I94" i="8"/>
  <c r="G89" i="9"/>
  <c r="G94" i="8"/>
  <c r="K89" i="9"/>
  <c r="K94" i="8"/>
  <c r="M94" i="8"/>
  <c r="M89" i="9"/>
  <c r="O94" i="8"/>
  <c r="O89" i="9"/>
  <c r="K89" i="10" l="1"/>
  <c r="K94" i="9"/>
  <c r="E89" i="10"/>
  <c r="E94" i="9"/>
  <c r="I89" i="10"/>
  <c r="I94" i="9"/>
  <c r="N89" i="9"/>
  <c r="N94" i="8"/>
  <c r="G89" i="10"/>
  <c r="G94" i="9"/>
  <c r="J89" i="10"/>
  <c r="J94" i="9"/>
  <c r="F89" i="10"/>
  <c r="F94" i="9"/>
  <c r="L89" i="10"/>
  <c r="L94" i="9"/>
  <c r="O89" i="10"/>
  <c r="O94" i="9"/>
  <c r="M89" i="10"/>
  <c r="M94" i="9"/>
  <c r="N89" i="10" l="1"/>
  <c r="N94" i="9"/>
  <c r="F94" i="10"/>
  <c r="I94" i="10"/>
  <c r="J94" i="10"/>
  <c r="G94" i="10"/>
  <c r="E94" i="10"/>
  <c r="L94" i="10"/>
  <c r="K94" i="10"/>
  <c r="O94" i="10"/>
  <c r="M94" i="10"/>
  <c r="N94" i="10" l="1"/>
  <c r="W42" i="4" l="1"/>
  <c r="W55" i="4" s="1"/>
  <c r="P55" i="4"/>
  <c r="J67" i="1" s="1"/>
  <c r="J74" i="1" s="1"/>
  <c r="H42" i="4"/>
  <c r="H55" i="4" l="1"/>
  <c r="M74" i="17"/>
  <c r="M115" i="17" s="1"/>
  <c r="M117" i="17" s="1"/>
  <c r="AP67" i="17"/>
  <c r="P74" i="1" l="1"/>
  <c r="N67" i="7"/>
  <c r="O67" i="7"/>
  <c r="X55" i="4"/>
  <c r="L67" i="7"/>
  <c r="Z55" i="4"/>
  <c r="M67" i="7"/>
  <c r="F67" i="7"/>
  <c r="F67" i="8" s="1"/>
  <c r="I67" i="7"/>
  <c r="H67" i="7"/>
  <c r="P67" i="7" l="1"/>
  <c r="K67" i="7"/>
  <c r="U67" i="1"/>
  <c r="F74" i="7"/>
  <c r="J67" i="7"/>
  <c r="J67" i="8" s="1"/>
  <c r="J67" i="9" s="1"/>
  <c r="E67" i="7"/>
  <c r="G67" i="7"/>
  <c r="G67" i="8" s="1"/>
  <c r="S67" i="1"/>
  <c r="U67" i="7" s="1"/>
  <c r="J74" i="7"/>
  <c r="O74" i="7"/>
  <c r="O67" i="8"/>
  <c r="I74" i="7"/>
  <c r="I67" i="8"/>
  <c r="L67" i="8"/>
  <c r="L74" i="7"/>
  <c r="P67" i="8"/>
  <c r="P74" i="7"/>
  <c r="F74" i="8"/>
  <c r="F67" i="9"/>
  <c r="M67" i="8"/>
  <c r="M74" i="7"/>
  <c r="K67" i="8"/>
  <c r="K74" i="7"/>
  <c r="N67" i="8"/>
  <c r="N74" i="7"/>
  <c r="H67" i="8"/>
  <c r="E74" i="7" l="1"/>
  <c r="J74" i="8"/>
  <c r="E67" i="8"/>
  <c r="G74" i="7"/>
  <c r="AA67" i="1"/>
  <c r="AD67" i="1"/>
  <c r="AR67" i="17"/>
  <c r="X67" i="1"/>
  <c r="L74" i="8"/>
  <c r="L67" i="9"/>
  <c r="E74" i="8"/>
  <c r="E67" i="9"/>
  <c r="N67" i="9"/>
  <c r="N74" i="8"/>
  <c r="F67" i="10"/>
  <c r="F74" i="9"/>
  <c r="I74" i="8"/>
  <c r="I67" i="9"/>
  <c r="O67" i="9"/>
  <c r="O74" i="8"/>
  <c r="P74" i="8"/>
  <c r="P67" i="9"/>
  <c r="K67" i="9"/>
  <c r="K74" i="8"/>
  <c r="J67" i="10"/>
  <c r="J74" i="9"/>
  <c r="H67" i="9"/>
  <c r="M67" i="9"/>
  <c r="M74" i="8"/>
  <c r="G74" i="8"/>
  <c r="G67" i="9"/>
  <c r="O74" i="9" l="1"/>
  <c r="O67" i="10"/>
  <c r="E74" i="9"/>
  <c r="E67" i="10"/>
  <c r="H67" i="10"/>
  <c r="I74" i="9"/>
  <c r="I67" i="10"/>
  <c r="K67" i="10"/>
  <c r="K74" i="9"/>
  <c r="F74" i="10"/>
  <c r="G67" i="10"/>
  <c r="G74" i="9"/>
  <c r="N67" i="10"/>
  <c r="N74" i="9"/>
  <c r="L67" i="10"/>
  <c r="L74" i="9"/>
  <c r="J74" i="10"/>
  <c r="P67" i="10"/>
  <c r="P74" i="9"/>
  <c r="M67" i="10"/>
  <c r="M74" i="9"/>
  <c r="K74" i="10" l="1"/>
  <c r="L74" i="10"/>
  <c r="I74" i="10"/>
  <c r="N74" i="10"/>
  <c r="G74" i="10"/>
  <c r="M74" i="10"/>
  <c r="S67" i="7"/>
  <c r="P74" i="10"/>
  <c r="E74" i="10"/>
  <c r="O74" i="10"/>
  <c r="S67" i="8" l="1"/>
  <c r="U67" i="8"/>
  <c r="V67" i="7"/>
  <c r="V67" i="8" l="1"/>
  <c r="U67" i="9"/>
  <c r="S67" i="9"/>
  <c r="S67" i="10" l="1"/>
  <c r="U67" i="10"/>
  <c r="V67" i="9"/>
  <c r="V67" i="10" l="1"/>
  <c r="H128" i="4"/>
  <c r="K73" i="17" l="1"/>
  <c r="H140" i="4"/>
  <c r="K94" i="17" l="1"/>
  <c r="N140" i="4"/>
  <c r="H73" i="1" s="1"/>
  <c r="H74" i="1" s="1"/>
  <c r="W128" i="4"/>
  <c r="H89" i="1"/>
  <c r="K109" i="17"/>
  <c r="AP73" i="17"/>
  <c r="K74" i="17"/>
  <c r="Z140" i="4"/>
  <c r="K115" i="17" l="1"/>
  <c r="K117" i="17" s="1"/>
  <c r="Z261" i="4"/>
  <c r="AP74" i="17"/>
  <c r="H89" i="7"/>
  <c r="U89" i="1"/>
  <c r="H94" i="1"/>
  <c r="U94" i="1" s="1"/>
  <c r="E26" i="11" s="1"/>
  <c r="G26" i="11" s="1"/>
  <c r="W140" i="4"/>
  <c r="X140" i="4" s="1"/>
  <c r="S73" i="1"/>
  <c r="AR73" i="17" s="1"/>
  <c r="H73" i="7"/>
  <c r="U74" i="1"/>
  <c r="E24" i="11" s="1"/>
  <c r="U73" i="1"/>
  <c r="AP94" i="17"/>
  <c r="G24" i="11" l="1"/>
  <c r="X261" i="4"/>
  <c r="S74" i="1"/>
  <c r="U73" i="7"/>
  <c r="AA73" i="1"/>
  <c r="AA74" i="1" s="1"/>
  <c r="AD73" i="1"/>
  <c r="AD74" i="1" s="1"/>
  <c r="X73" i="1"/>
  <c r="X74" i="1" s="1"/>
  <c r="H89" i="8"/>
  <c r="H94" i="7"/>
  <c r="H74" i="7"/>
  <c r="H73" i="8"/>
  <c r="H74" i="8" l="1"/>
  <c r="H73" i="9"/>
  <c r="E80" i="6"/>
  <c r="H89" i="9"/>
  <c r="H94" i="8"/>
  <c r="U74" i="7"/>
  <c r="G21" i="16"/>
  <c r="J24" i="11"/>
  <c r="AR74" i="17"/>
  <c r="H21" i="16" l="1"/>
  <c r="K24" i="11"/>
  <c r="H73" i="10"/>
  <c r="H74" i="9"/>
  <c r="S73" i="7"/>
  <c r="G80" i="6"/>
  <c r="H89" i="10"/>
  <c r="H94" i="9"/>
  <c r="U73" i="8" l="1"/>
  <c r="S74" i="7"/>
  <c r="V73" i="7"/>
  <c r="V74" i="7" s="1"/>
  <c r="S73" i="8"/>
  <c r="H94" i="10"/>
  <c r="I80" i="6"/>
  <c r="H74" i="10"/>
  <c r="S73" i="9" l="1"/>
  <c r="U73" i="9"/>
  <c r="S74" i="8"/>
  <c r="M80" i="6"/>
  <c r="K80" i="6"/>
  <c r="U74" i="8"/>
  <c r="V73" i="8"/>
  <c r="V74" i="8" s="1"/>
  <c r="S73" i="10" l="1"/>
  <c r="S74" i="10" s="1"/>
  <c r="U74" i="9"/>
  <c r="V73" i="9"/>
  <c r="V74" i="9" s="1"/>
  <c r="U73" i="10"/>
  <c r="S74" i="9"/>
  <c r="V73" i="10" l="1"/>
  <c r="V74" i="10" s="1"/>
  <c r="U74" i="10"/>
  <c r="AP108" i="17" l="1"/>
  <c r="F52" i="2"/>
  <c r="H393" i="4"/>
  <c r="H408" i="4" s="1"/>
  <c r="M408" i="4" l="1"/>
  <c r="G108" i="1" s="1"/>
  <c r="G108" i="7" s="1"/>
  <c r="G108" i="8" s="1"/>
  <c r="Q408" i="4"/>
  <c r="K108" i="1" s="1"/>
  <c r="K108" i="7" s="1"/>
  <c r="K16" i="1"/>
  <c r="O16" i="1"/>
  <c r="AA16" i="17"/>
  <c r="AP109" i="17"/>
  <c r="AP115" i="17" s="1"/>
  <c r="F58" i="2"/>
  <c r="F55" i="2"/>
  <c r="AD19" i="17" s="1"/>
  <c r="Z408" i="4"/>
  <c r="F57" i="2"/>
  <c r="F50" i="2"/>
  <c r="I16" i="1" s="1"/>
  <c r="F59" i="2"/>
  <c r="F49" i="2"/>
  <c r="F56" i="2"/>
  <c r="N408" i="4"/>
  <c r="H108" i="1" s="1"/>
  <c r="X109" i="17"/>
  <c r="X115" i="17" s="1"/>
  <c r="X117" i="17" s="1"/>
  <c r="T408" i="4"/>
  <c r="N108" i="1" s="1"/>
  <c r="L408" i="4"/>
  <c r="F108" i="1" s="1"/>
  <c r="R408" i="4"/>
  <c r="L108" i="1" s="1"/>
  <c r="U408" i="4"/>
  <c r="O108" i="1" s="1"/>
  <c r="V408" i="4"/>
  <c r="P108" i="1" s="1"/>
  <c r="P408" i="4"/>
  <c r="J108" i="1" s="1"/>
  <c r="O408" i="4"/>
  <c r="I108" i="1" s="1"/>
  <c r="S408" i="4"/>
  <c r="M108" i="1" s="1"/>
  <c r="AI19" i="17" l="1"/>
  <c r="P19" i="1"/>
  <c r="K19" i="1"/>
  <c r="G109" i="1"/>
  <c r="G115" i="1" s="1"/>
  <c r="G117" i="1" s="1"/>
  <c r="G120" i="1" s="1"/>
  <c r="G138" i="1" s="1"/>
  <c r="K109" i="1"/>
  <c r="K115" i="1" s="1"/>
  <c r="G109" i="7"/>
  <c r="G115" i="7" s="1"/>
  <c r="G117" i="7" s="1"/>
  <c r="G120" i="7" s="1"/>
  <c r="G138" i="7" s="1"/>
  <c r="J109" i="1"/>
  <c r="J115" i="1" s="1"/>
  <c r="J108" i="7"/>
  <c r="M109" i="1"/>
  <c r="M115" i="1" s="1"/>
  <c r="M108" i="7"/>
  <c r="L115" i="1"/>
  <c r="L117" i="1" s="1"/>
  <c r="L120" i="1" s="1"/>
  <c r="L138" i="1" s="1"/>
  <c r="L109" i="1"/>
  <c r="L108" i="7"/>
  <c r="F109" i="1"/>
  <c r="F115" i="1" s="1"/>
  <c r="F108" i="7"/>
  <c r="K108" i="8"/>
  <c r="K109" i="7"/>
  <c r="K115" i="7"/>
  <c r="P109" i="1"/>
  <c r="P108" i="7"/>
  <c r="N109" i="1"/>
  <c r="N115" i="1" s="1"/>
  <c r="N117" i="1" s="1"/>
  <c r="N120" i="1" s="1"/>
  <c r="N138" i="1" s="1"/>
  <c r="N108" i="7"/>
  <c r="O109" i="1"/>
  <c r="O108" i="7"/>
  <c r="O115" i="1"/>
  <c r="W393" i="4"/>
  <c r="W408" i="4" s="1"/>
  <c r="X408" i="4" s="1"/>
  <c r="K408" i="4"/>
  <c r="E108" i="1" s="1"/>
  <c r="H108" i="7"/>
  <c r="H109" i="1"/>
  <c r="H115" i="1" s="1"/>
  <c r="H117" i="1" s="1"/>
  <c r="H120" i="1" s="1"/>
  <c r="H138" i="1" s="1"/>
  <c r="AA17" i="17"/>
  <c r="AA27" i="17" s="1"/>
  <c r="AA117" i="17" s="1"/>
  <c r="Y16" i="17"/>
  <c r="M16" i="1"/>
  <c r="S16" i="1" s="1"/>
  <c r="O20" i="1"/>
  <c r="E20" i="17"/>
  <c r="G15" i="18" s="1"/>
  <c r="F15" i="18" s="1"/>
  <c r="J20" i="1"/>
  <c r="O17" i="1"/>
  <c r="O16" i="7"/>
  <c r="I17" i="1"/>
  <c r="U16" i="1"/>
  <c r="I16" i="7"/>
  <c r="K17" i="1"/>
  <c r="K16" i="7"/>
  <c r="I108" i="7"/>
  <c r="I109" i="1"/>
  <c r="I115" i="1" s="1"/>
  <c r="AD22" i="17"/>
  <c r="AD27" i="17" s="1"/>
  <c r="AD117" i="17" s="1"/>
  <c r="G108" i="9"/>
  <c r="G109" i="8"/>
  <c r="G115" i="8" s="1"/>
  <c r="G117" i="8" s="1"/>
  <c r="G120" i="8" s="1"/>
  <c r="G138" i="8" s="1"/>
  <c r="AP19" i="17" l="1"/>
  <c r="G14" i="18"/>
  <c r="F14" i="18" s="1"/>
  <c r="AI22" i="17"/>
  <c r="AI27" i="17" s="1"/>
  <c r="AI117" i="17" s="1"/>
  <c r="F117" i="1"/>
  <c r="U17" i="1"/>
  <c r="E15" i="11" s="1"/>
  <c r="G15" i="11" s="1"/>
  <c r="I27" i="1"/>
  <c r="I117" i="1" s="1"/>
  <c r="I120" i="1" s="1"/>
  <c r="I138" i="1" s="1"/>
  <c r="K109" i="8"/>
  <c r="K115" i="8"/>
  <c r="K108" i="9"/>
  <c r="I17" i="7"/>
  <c r="I27" i="7" s="1"/>
  <c r="I16" i="8"/>
  <c r="F109" i="7"/>
  <c r="F115" i="7"/>
  <c r="F117" i="7" s="1"/>
  <c r="F120" i="7" s="1"/>
  <c r="F108" i="8"/>
  <c r="H109" i="7"/>
  <c r="H115" i="7" s="1"/>
  <c r="H117" i="7" s="1"/>
  <c r="H120" i="7" s="1"/>
  <c r="H138" i="7" s="1"/>
  <c r="H108" i="8"/>
  <c r="L108" i="8"/>
  <c r="L109" i="7"/>
  <c r="L115" i="7" s="1"/>
  <c r="L117" i="7" s="1"/>
  <c r="L120" i="7" s="1"/>
  <c r="L138" i="7" s="1"/>
  <c r="G115" i="9"/>
  <c r="G117" i="9" s="1"/>
  <c r="G120" i="9" s="1"/>
  <c r="G138" i="9" s="1"/>
  <c r="G109" i="9"/>
  <c r="G108" i="10"/>
  <c r="O109" i="7"/>
  <c r="O115" i="7"/>
  <c r="O108" i="8"/>
  <c r="E22" i="17"/>
  <c r="E27" i="17" s="1"/>
  <c r="E117" i="17" s="1"/>
  <c r="AP20" i="17"/>
  <c r="I108" i="8"/>
  <c r="I109" i="7"/>
  <c r="I115" i="7"/>
  <c r="O20" i="7"/>
  <c r="O22" i="1"/>
  <c r="O27" i="1" s="1"/>
  <c r="O117" i="1" s="1"/>
  <c r="O120" i="1" s="1"/>
  <c r="O138" i="1" s="1"/>
  <c r="N109" i="7"/>
  <c r="N115" i="7" s="1"/>
  <c r="N117" i="7" s="1"/>
  <c r="N120" i="7" s="1"/>
  <c r="N138" i="7" s="1"/>
  <c r="N108" i="8"/>
  <c r="M108" i="8"/>
  <c r="M109" i="7"/>
  <c r="M115" i="7"/>
  <c r="AP16" i="17"/>
  <c r="Y17" i="17"/>
  <c r="Y27" i="17" s="1"/>
  <c r="Y117" i="17" s="1"/>
  <c r="S108" i="1"/>
  <c r="U108" i="1"/>
  <c r="E108" i="7"/>
  <c r="E109" i="1"/>
  <c r="U109" i="1" s="1"/>
  <c r="E29" i="11" s="1"/>
  <c r="M17" i="1"/>
  <c r="M27" i="1" s="1"/>
  <c r="M117" i="1" s="1"/>
  <c r="M120" i="1" s="1"/>
  <c r="M138" i="1" s="1"/>
  <c r="M16" i="7"/>
  <c r="K17" i="7"/>
  <c r="K16" i="8"/>
  <c r="P109" i="7"/>
  <c r="P108" i="8"/>
  <c r="J109" i="7"/>
  <c r="J115" i="7" s="1"/>
  <c r="J108" i="8"/>
  <c r="X16" i="1"/>
  <c r="S17" i="1"/>
  <c r="AA16" i="1"/>
  <c r="U16" i="7"/>
  <c r="AD16" i="1"/>
  <c r="O17" i="7"/>
  <c r="O16" i="8"/>
  <c r="J22" i="1"/>
  <c r="U20" i="1"/>
  <c r="J20" i="7"/>
  <c r="S20" i="1"/>
  <c r="P22" i="1"/>
  <c r="P19" i="7"/>
  <c r="K19" i="7"/>
  <c r="K22" i="1"/>
  <c r="K27" i="1" s="1"/>
  <c r="K117" i="1" s="1"/>
  <c r="K120" i="1" s="1"/>
  <c r="K138" i="1" s="1"/>
  <c r="U19" i="1"/>
  <c r="S19" i="1"/>
  <c r="AR19" i="17" s="1"/>
  <c r="P27" i="1" l="1"/>
  <c r="G29" i="11"/>
  <c r="G32" i="11" s="1"/>
  <c r="E32" i="11"/>
  <c r="E115" i="1"/>
  <c r="F138" i="7"/>
  <c r="F120" i="1"/>
  <c r="U22" i="1"/>
  <c r="E16" i="11" s="1"/>
  <c r="G16" i="11" s="1"/>
  <c r="G19" i="11" s="1"/>
  <c r="I117" i="7"/>
  <c r="I120" i="7" s="1"/>
  <c r="I138" i="7" s="1"/>
  <c r="AD108" i="1"/>
  <c r="AA108" i="1"/>
  <c r="X108" i="1"/>
  <c r="U108" i="7"/>
  <c r="S109" i="1"/>
  <c r="AR108" i="17"/>
  <c r="J108" i="9"/>
  <c r="J109" i="8"/>
  <c r="J115" i="8" s="1"/>
  <c r="AR20" i="17"/>
  <c r="AP22" i="17"/>
  <c r="AR16" i="17"/>
  <c r="AP17" i="17"/>
  <c r="AR17" i="17" s="1"/>
  <c r="J27" i="1"/>
  <c r="P109" i="8"/>
  <c r="P108" i="9"/>
  <c r="O109" i="8"/>
  <c r="O115" i="8" s="1"/>
  <c r="O108" i="9"/>
  <c r="F109" i="8"/>
  <c r="F115" i="8" s="1"/>
  <c r="F117" i="8" s="1"/>
  <c r="F120" i="8" s="1"/>
  <c r="F108" i="9"/>
  <c r="AD20" i="1"/>
  <c r="AA20" i="1"/>
  <c r="X20" i="1"/>
  <c r="U20" i="7"/>
  <c r="O17" i="8"/>
  <c r="O16" i="9"/>
  <c r="K16" i="9"/>
  <c r="K17" i="8"/>
  <c r="M108" i="9"/>
  <c r="M109" i="8"/>
  <c r="M115" i="8" s="1"/>
  <c r="G109" i="10"/>
  <c r="G115" i="10" s="1"/>
  <c r="G117" i="10" s="1"/>
  <c r="G120" i="10" s="1"/>
  <c r="G138" i="10" s="1"/>
  <c r="AA19" i="1"/>
  <c r="AD19" i="1"/>
  <c r="U19" i="7"/>
  <c r="X19" i="1"/>
  <c r="S22" i="1"/>
  <c r="S27" i="1" s="1"/>
  <c r="N109" i="8"/>
  <c r="N115" i="8" s="1"/>
  <c r="N117" i="8" s="1"/>
  <c r="N120" i="8" s="1"/>
  <c r="N138" i="8" s="1"/>
  <c r="N108" i="9"/>
  <c r="J20" i="8"/>
  <c r="J22" i="7"/>
  <c r="J27" i="7" s="1"/>
  <c r="J117" i="7" s="1"/>
  <c r="J120" i="7" s="1"/>
  <c r="J138" i="7" s="1"/>
  <c r="AD17" i="1"/>
  <c r="I17" i="8"/>
  <c r="I27" i="8" s="1"/>
  <c r="I16" i="9"/>
  <c r="U17" i="7"/>
  <c r="M17" i="7"/>
  <c r="M27" i="7" s="1"/>
  <c r="M117" i="7" s="1"/>
  <c r="M120" i="7" s="1"/>
  <c r="M138" i="7" s="1"/>
  <c r="M16" i="8"/>
  <c r="AA17" i="1"/>
  <c r="E23" i="6"/>
  <c r="O20" i="8"/>
  <c r="O22" i="7"/>
  <c r="O27" i="7" s="1"/>
  <c r="O117" i="7" s="1"/>
  <c r="O120" i="7" s="1"/>
  <c r="O138" i="7" s="1"/>
  <c r="K108" i="10"/>
  <c r="K109" i="9"/>
  <c r="K115" i="9" s="1"/>
  <c r="K19" i="8"/>
  <c r="K22" i="7"/>
  <c r="K27" i="7" s="1"/>
  <c r="K117" i="7" s="1"/>
  <c r="K120" i="7" s="1"/>
  <c r="K138" i="7" s="1"/>
  <c r="J15" i="11"/>
  <c r="G12" i="16"/>
  <c r="L109" i="8"/>
  <c r="L115" i="8" s="1"/>
  <c r="L117" i="8" s="1"/>
  <c r="L120" i="8" s="1"/>
  <c r="L138" i="8" s="1"/>
  <c r="L108" i="9"/>
  <c r="P22" i="7"/>
  <c r="P27" i="7" s="1"/>
  <c r="P19" i="8"/>
  <c r="X17" i="1"/>
  <c r="E109" i="7"/>
  <c r="E115" i="7" s="1"/>
  <c r="E117" i="7" s="1"/>
  <c r="E120" i="7" s="1"/>
  <c r="E138" i="7" s="1"/>
  <c r="E108" i="8"/>
  <c r="H109" i="8"/>
  <c r="H108" i="9"/>
  <c r="H115" i="8"/>
  <c r="H117" i="8" s="1"/>
  <c r="H120" i="8" s="1"/>
  <c r="H138" i="8" s="1"/>
  <c r="I109" i="8"/>
  <c r="I115" i="8" s="1"/>
  <c r="I108" i="9"/>
  <c r="G34" i="11" l="1"/>
  <c r="X109" i="1"/>
  <c r="AA109" i="1"/>
  <c r="AD109" i="1"/>
  <c r="E117" i="1"/>
  <c r="E120" i="1" s="1"/>
  <c r="E138" i="1" s="1"/>
  <c r="E141" i="1" s="1"/>
  <c r="F139" i="1" s="1"/>
  <c r="U115" i="1"/>
  <c r="F138" i="8"/>
  <c r="F138" i="1"/>
  <c r="E19" i="11"/>
  <c r="E34" i="11" s="1"/>
  <c r="E37" i="11" s="1"/>
  <c r="AA22" i="1"/>
  <c r="AA27" i="1" s="1"/>
  <c r="AR22" i="17"/>
  <c r="U22" i="7"/>
  <c r="U27" i="7" s="1"/>
  <c r="I117" i="8"/>
  <c r="I120" i="8" s="1"/>
  <c r="I138" i="8" s="1"/>
  <c r="G23" i="6"/>
  <c r="AD22" i="1"/>
  <c r="AD27" i="1" s="1"/>
  <c r="F108" i="10"/>
  <c r="F115" i="9"/>
  <c r="F117" i="9" s="1"/>
  <c r="F120" i="9" s="1"/>
  <c r="F109" i="9"/>
  <c r="J115" i="9"/>
  <c r="J108" i="10"/>
  <c r="J109" i="9"/>
  <c r="H12" i="16"/>
  <c r="K15" i="11"/>
  <c r="H108" i="10"/>
  <c r="H109" i="9"/>
  <c r="H115" i="9" s="1"/>
  <c r="H117" i="9" s="1"/>
  <c r="H120" i="9" s="1"/>
  <c r="H138" i="9" s="1"/>
  <c r="O108" i="10"/>
  <c r="O109" i="9"/>
  <c r="O115" i="9"/>
  <c r="J29" i="11"/>
  <c r="G26" i="16"/>
  <c r="AR109" i="17"/>
  <c r="U109" i="7"/>
  <c r="L109" i="9"/>
  <c r="L115" i="9" s="1"/>
  <c r="L117" i="9" s="1"/>
  <c r="L120" i="9" s="1"/>
  <c r="L138" i="9" s="1"/>
  <c r="L108" i="10"/>
  <c r="E108" i="9"/>
  <c r="E109" i="8"/>
  <c r="E115" i="8" s="1"/>
  <c r="E117" i="8" s="1"/>
  <c r="E120" i="8" s="1"/>
  <c r="J22" i="8"/>
  <c r="J27" i="8" s="1"/>
  <c r="J117" i="8" s="1"/>
  <c r="J120" i="8" s="1"/>
  <c r="J138" i="8" s="1"/>
  <c r="J20" i="9"/>
  <c r="M17" i="8"/>
  <c r="M27" i="8" s="1"/>
  <c r="M117" i="8" s="1"/>
  <c r="M120" i="8" s="1"/>
  <c r="M138" i="8" s="1"/>
  <c r="M16" i="9"/>
  <c r="P108" i="10"/>
  <c r="P109" i="9"/>
  <c r="E115" i="6"/>
  <c r="O17" i="9"/>
  <c r="O16" i="10"/>
  <c r="I109" i="9"/>
  <c r="I115" i="9" s="1"/>
  <c r="I108" i="10"/>
  <c r="J117" i="1"/>
  <c r="U27" i="1"/>
  <c r="K16" i="10"/>
  <c r="K17" i="9"/>
  <c r="P19" i="9"/>
  <c r="P22" i="8"/>
  <c r="P27" i="8" s="1"/>
  <c r="O20" i="9"/>
  <c r="O22" i="8"/>
  <c r="O27" i="8" s="1"/>
  <c r="O117" i="8" s="1"/>
  <c r="O120" i="8" s="1"/>
  <c r="O138" i="8" s="1"/>
  <c r="E28" i="6"/>
  <c r="E33" i="6" s="1"/>
  <c r="M109" i="9"/>
  <c r="M115" i="9" s="1"/>
  <c r="M108" i="10"/>
  <c r="G13" i="16"/>
  <c r="H13" i="16" s="1"/>
  <c r="J16" i="11"/>
  <c r="K16" i="11" s="1"/>
  <c r="K19" i="9"/>
  <c r="K22" i="8"/>
  <c r="K27" i="8" s="1"/>
  <c r="K117" i="8" s="1"/>
  <c r="K120" i="8" s="1"/>
  <c r="K138" i="8" s="1"/>
  <c r="N109" i="9"/>
  <c r="N108" i="10"/>
  <c r="N115" i="9"/>
  <c r="N117" i="9" s="1"/>
  <c r="N120" i="9" s="1"/>
  <c r="N138" i="9" s="1"/>
  <c r="K115" i="10"/>
  <c r="K109" i="10"/>
  <c r="I17" i="9"/>
  <c r="I27" i="9" s="1"/>
  <c r="I16" i="10"/>
  <c r="X22" i="1"/>
  <c r="X27" i="1" s="1"/>
  <c r="AP27" i="17"/>
  <c r="S16" i="7"/>
  <c r="F141" i="1" l="1"/>
  <c r="G139" i="1" s="1"/>
  <c r="G141" i="1" s="1"/>
  <c r="H139" i="1" s="1"/>
  <c r="H141" i="1" s="1"/>
  <c r="I139" i="1" s="1"/>
  <c r="I141" i="1" s="1"/>
  <c r="J139" i="1" s="1"/>
  <c r="S108" i="7"/>
  <c r="H26" i="16"/>
  <c r="K29" i="11"/>
  <c r="J120" i="1"/>
  <c r="U117" i="1"/>
  <c r="F138" i="9"/>
  <c r="F115" i="10"/>
  <c r="F117" i="10" s="1"/>
  <c r="F120" i="10" s="1"/>
  <c r="F109" i="10"/>
  <c r="J22" i="9"/>
  <c r="J27" i="9" s="1"/>
  <c r="J117" i="9" s="1"/>
  <c r="J120" i="9" s="1"/>
  <c r="J138" i="9" s="1"/>
  <c r="J20" i="10"/>
  <c r="M16" i="10"/>
  <c r="M17" i="9"/>
  <c r="M27" i="9" s="1"/>
  <c r="M117" i="9" s="1"/>
  <c r="M120" i="9" s="1"/>
  <c r="M138" i="9" s="1"/>
  <c r="I17" i="10"/>
  <c r="I27" i="10" s="1"/>
  <c r="O109" i="10"/>
  <c r="O115" i="10" s="1"/>
  <c r="I23" i="6"/>
  <c r="M109" i="10"/>
  <c r="M115" i="10"/>
  <c r="H109" i="10"/>
  <c r="H115" i="10" s="1"/>
  <c r="H117" i="10" s="1"/>
  <c r="H120" i="10" s="1"/>
  <c r="H138" i="10" s="1"/>
  <c r="I109" i="10"/>
  <c r="I115" i="10" s="1"/>
  <c r="J19" i="11"/>
  <c r="N109" i="10"/>
  <c r="N115" i="10" s="1"/>
  <c r="N117" i="10" s="1"/>
  <c r="N120" i="10" s="1"/>
  <c r="N138" i="10" s="1"/>
  <c r="O17" i="10"/>
  <c r="E109" i="9"/>
  <c r="E115" i="9" s="1"/>
  <c r="E117" i="9" s="1"/>
  <c r="E120" i="9" s="1"/>
  <c r="E108" i="10"/>
  <c r="K19" i="11"/>
  <c r="G28" i="6"/>
  <c r="G33" i="6" s="1"/>
  <c r="O22" i="9"/>
  <c r="O27" i="9" s="1"/>
  <c r="O117" i="9" s="1"/>
  <c r="O120" i="9" s="1"/>
  <c r="O138" i="9" s="1"/>
  <c r="O20" i="10"/>
  <c r="O22" i="10" s="1"/>
  <c r="K22" i="9"/>
  <c r="K27" i="9" s="1"/>
  <c r="K117" i="9" s="1"/>
  <c r="K120" i="9" s="1"/>
  <c r="K138" i="9" s="1"/>
  <c r="K19" i="10"/>
  <c r="P22" i="9"/>
  <c r="P27" i="9" s="1"/>
  <c r="P19" i="10"/>
  <c r="L109" i="10"/>
  <c r="L115" i="10"/>
  <c r="L117" i="10" s="1"/>
  <c r="L120" i="10" s="1"/>
  <c r="L138" i="10" s="1"/>
  <c r="H16" i="16"/>
  <c r="G16" i="16"/>
  <c r="S16" i="8"/>
  <c r="S19" i="7"/>
  <c r="G115" i="6"/>
  <c r="J115" i="10"/>
  <c r="J109" i="10"/>
  <c r="I117" i="9"/>
  <c r="I120" i="9" s="1"/>
  <c r="I138" i="9" s="1"/>
  <c r="S17" i="7"/>
  <c r="U16" i="8"/>
  <c r="V16" i="7"/>
  <c r="AP117" i="17"/>
  <c r="AR27" i="17"/>
  <c r="K17" i="10"/>
  <c r="P109" i="10"/>
  <c r="S20" i="7" l="1"/>
  <c r="S22" i="7" s="1"/>
  <c r="S27" i="7" s="1"/>
  <c r="S20" i="8"/>
  <c r="J138" i="1"/>
  <c r="J141" i="1" s="1"/>
  <c r="K139" i="1" s="1"/>
  <c r="K141" i="1" s="1"/>
  <c r="L139" i="1" s="1"/>
  <c r="L141" i="1" s="1"/>
  <c r="M139" i="1" s="1"/>
  <c r="M141" i="1" s="1"/>
  <c r="N139" i="1" s="1"/>
  <c r="N141" i="1" s="1"/>
  <c r="O139" i="1" s="1"/>
  <c r="O141" i="1" s="1"/>
  <c r="P139" i="1" s="1"/>
  <c r="F138" i="10"/>
  <c r="O27" i="10"/>
  <c r="O117" i="10" s="1"/>
  <c r="O120" i="10" s="1"/>
  <c r="O138" i="10" s="1"/>
  <c r="U17" i="8"/>
  <c r="M17" i="10"/>
  <c r="M27" i="10" s="1"/>
  <c r="M117" i="10" s="1"/>
  <c r="M120" i="10" s="1"/>
  <c r="M138" i="10" s="1"/>
  <c r="J22" i="10"/>
  <c r="J27" i="10" s="1"/>
  <c r="J117" i="10" s="1"/>
  <c r="J120" i="10" s="1"/>
  <c r="J138" i="10" s="1"/>
  <c r="E109" i="10"/>
  <c r="E115" i="10" s="1"/>
  <c r="E117" i="10" s="1"/>
  <c r="E120" i="10" s="1"/>
  <c r="I115" i="6"/>
  <c r="K23" i="6"/>
  <c r="V19" i="7"/>
  <c r="U19" i="8"/>
  <c r="S19" i="8"/>
  <c r="I117" i="10"/>
  <c r="I120" i="10" s="1"/>
  <c r="I138" i="10" s="1"/>
  <c r="U108" i="8"/>
  <c r="S109" i="7"/>
  <c r="V108" i="7"/>
  <c r="P22" i="10"/>
  <c r="P27" i="10" s="1"/>
  <c r="K22" i="10"/>
  <c r="K27" i="10" s="1"/>
  <c r="K117" i="10" s="1"/>
  <c r="K120" i="10" s="1"/>
  <c r="K138" i="10" s="1"/>
  <c r="U16" i="9"/>
  <c r="V16" i="8"/>
  <c r="S17" i="8"/>
  <c r="S16" i="10"/>
  <c r="S16" i="9"/>
  <c r="V17" i="7"/>
  <c r="I28" i="6"/>
  <c r="I33" i="6" s="1"/>
  <c r="U20" i="8" l="1"/>
  <c r="V20" i="8" s="1"/>
  <c r="V20" i="7"/>
  <c r="S108" i="8"/>
  <c r="S109" i="8" s="1"/>
  <c r="V22" i="7"/>
  <c r="V27" i="7" s="1"/>
  <c r="V109" i="7"/>
  <c r="E123" i="9"/>
  <c r="U20" i="9"/>
  <c r="K28" i="6"/>
  <c r="K33" i="6" s="1"/>
  <c r="M28" i="6"/>
  <c r="U109" i="8"/>
  <c r="V108" i="8"/>
  <c r="V17" i="8"/>
  <c r="S19" i="9"/>
  <c r="K115" i="6"/>
  <c r="S17" i="10"/>
  <c r="E123" i="8"/>
  <c r="S123" i="7"/>
  <c r="G134" i="6" s="1"/>
  <c r="S22" i="8"/>
  <c r="S27" i="8" s="1"/>
  <c r="V19" i="8"/>
  <c r="U19" i="9"/>
  <c r="S108" i="9"/>
  <c r="U17" i="9"/>
  <c r="U108" i="9"/>
  <c r="S17" i="9"/>
  <c r="U16" i="10"/>
  <c r="V16" i="10" s="1"/>
  <c r="V16" i="9"/>
  <c r="M23" i="6"/>
  <c r="S20" i="9" l="1"/>
  <c r="V20" i="9" s="1"/>
  <c r="S20" i="10"/>
  <c r="U22" i="8"/>
  <c r="U27" i="8" s="1"/>
  <c r="S123" i="8"/>
  <c r="I134" i="6" s="1"/>
  <c r="M115" i="6"/>
  <c r="V109" i="8"/>
  <c r="V22" i="8"/>
  <c r="V27" i="8" s="1"/>
  <c r="U22" i="9"/>
  <c r="U27" i="9" s="1"/>
  <c r="V17" i="10"/>
  <c r="V17" i="9"/>
  <c r="U17" i="10"/>
  <c r="S109" i="9"/>
  <c r="U108" i="10"/>
  <c r="V19" i="9"/>
  <c r="U19" i="10"/>
  <c r="M33" i="6"/>
  <c r="E123" i="10"/>
  <c r="S108" i="10"/>
  <c r="S19" i="10"/>
  <c r="V108" i="9"/>
  <c r="U109" i="9"/>
  <c r="U20" i="10" l="1"/>
  <c r="V20" i="10" s="1"/>
  <c r="S22" i="9"/>
  <c r="S27" i="9" s="1"/>
  <c r="V109" i="9"/>
  <c r="S109" i="10"/>
  <c r="S123" i="10"/>
  <c r="M134" i="6" s="1"/>
  <c r="S22" i="10"/>
  <c r="S27" i="10" s="1"/>
  <c r="V19" i="10"/>
  <c r="S123" i="9"/>
  <c r="K134" i="6" s="1"/>
  <c r="V22" i="9"/>
  <c r="V27" i="9" s="1"/>
  <c r="U109" i="10"/>
  <c r="V108" i="10"/>
  <c r="U22" i="10" l="1"/>
  <c r="U27" i="10" s="1"/>
  <c r="V109" i="10"/>
  <c r="V22" i="10"/>
  <c r="V27" i="10" s="1"/>
  <c r="P89" i="1"/>
  <c r="P94" i="1" s="1"/>
  <c r="P115" i="1" s="1"/>
  <c r="P117" i="1" s="1"/>
  <c r="P120" i="1" s="1"/>
  <c r="P138" i="1" l="1"/>
  <c r="P141" i="1" s="1"/>
  <c r="S120" i="1"/>
  <c r="P89" i="7"/>
  <c r="S89" i="1"/>
  <c r="AR89" i="17" l="1"/>
  <c r="U89" i="7"/>
  <c r="AD89" i="1"/>
  <c r="X89" i="1"/>
  <c r="S94" i="1"/>
  <c r="S115" i="1" s="1"/>
  <c r="G39" i="16" s="1"/>
  <c r="AA89" i="1"/>
  <c r="P94" i="7"/>
  <c r="P115" i="7" s="1"/>
  <c r="P117" i="7" s="1"/>
  <c r="P120" i="7" s="1"/>
  <c r="P89" i="8"/>
  <c r="E139" i="7"/>
  <c r="E141" i="7" s="1"/>
  <c r="F139" i="7" s="1"/>
  <c r="F141" i="7" s="1"/>
  <c r="G139" i="7" s="1"/>
  <c r="G141" i="7" s="1"/>
  <c r="H139" i="7" s="1"/>
  <c r="H141" i="7" s="1"/>
  <c r="I139" i="7" s="1"/>
  <c r="I141" i="7" s="1"/>
  <c r="J139" i="7" s="1"/>
  <c r="J141" i="7" s="1"/>
  <c r="K139" i="7" s="1"/>
  <c r="K141" i="7" s="1"/>
  <c r="L139" i="7" s="1"/>
  <c r="L141" i="7" s="1"/>
  <c r="M139" i="7" s="1"/>
  <c r="M141" i="7" s="1"/>
  <c r="N139" i="7" s="1"/>
  <c r="N141" i="7" s="1"/>
  <c r="O139" i="7" s="1"/>
  <c r="O141" i="7" s="1"/>
  <c r="P139" i="7" s="1"/>
  <c r="P89" i="9" l="1"/>
  <c r="P94" i="8"/>
  <c r="P115" i="8" s="1"/>
  <c r="P117" i="8" s="1"/>
  <c r="P120" i="8" s="1"/>
  <c r="AA94" i="1"/>
  <c r="AA115" i="1"/>
  <c r="AA117" i="1" s="1"/>
  <c r="P138" i="7"/>
  <c r="P141" i="7" s="1"/>
  <c r="E139" i="8" s="1"/>
  <c r="AD94" i="1"/>
  <c r="AD115" i="1" s="1"/>
  <c r="AD117" i="1" s="1"/>
  <c r="AR94" i="17"/>
  <c r="G23" i="16"/>
  <c r="J26" i="11"/>
  <c r="X94" i="1"/>
  <c r="X115" i="1"/>
  <c r="X117" i="1" s="1"/>
  <c r="U94" i="7"/>
  <c r="U115" i="7" s="1"/>
  <c r="U117" i="7" s="1"/>
  <c r="P142" i="1"/>
  <c r="J142" i="1"/>
  <c r="N142" i="1"/>
  <c r="F142" i="1"/>
  <c r="I142" i="1"/>
  <c r="M142" i="1"/>
  <c r="O142" i="1"/>
  <c r="AR115" i="17"/>
  <c r="S117" i="1"/>
  <c r="AR117" i="17" s="1"/>
  <c r="H142" i="1"/>
  <c r="L142" i="1"/>
  <c r="K142" i="1"/>
  <c r="E142" i="1"/>
  <c r="G142" i="1"/>
  <c r="E100" i="6"/>
  <c r="E121" i="6" s="1"/>
  <c r="E123" i="6" s="1"/>
  <c r="E126" i="6" s="1"/>
  <c r="G29" i="16" l="1"/>
  <c r="G31" i="16" s="1"/>
  <c r="H23" i="16"/>
  <c r="H29" i="16" s="1"/>
  <c r="H31" i="16" s="1"/>
  <c r="K26" i="11"/>
  <c r="K32" i="11" s="1"/>
  <c r="K34" i="11" s="1"/>
  <c r="J32" i="11"/>
  <c r="J34" i="11" s="1"/>
  <c r="G100" i="6"/>
  <c r="G121" i="6"/>
  <c r="G123" i="6" s="1"/>
  <c r="P138" i="8"/>
  <c r="E131" i="6"/>
  <c r="E149" i="6" s="1"/>
  <c r="E152" i="6" s="1"/>
  <c r="E156" i="6"/>
  <c r="P89" i="10"/>
  <c r="P94" i="9"/>
  <c r="P115" i="9" s="1"/>
  <c r="P117" i="9" s="1"/>
  <c r="P120" i="9" s="1"/>
  <c r="P115" i="10" l="1"/>
  <c r="P117" i="10" s="1"/>
  <c r="P120" i="10" s="1"/>
  <c r="S120" i="10" s="1"/>
  <c r="P94" i="10"/>
  <c r="P138" i="9"/>
  <c r="I100" i="6"/>
  <c r="I121" i="6" s="1"/>
  <c r="I123" i="6" s="1"/>
  <c r="S89" i="7"/>
  <c r="J37" i="11"/>
  <c r="J41" i="11" s="1"/>
  <c r="J43" i="11"/>
  <c r="G131" i="6"/>
  <c r="G125" i="6"/>
  <c r="G126" i="6" s="1"/>
  <c r="E127" i="6"/>
  <c r="G150" i="6"/>
  <c r="E157" i="6"/>
  <c r="G34" i="16"/>
  <c r="G42" i="16"/>
  <c r="S94" i="7" l="1"/>
  <c r="S115" i="7" s="1"/>
  <c r="S117" i="7" s="1"/>
  <c r="G156" i="6" s="1"/>
  <c r="U89" i="8"/>
  <c r="V89" i="7"/>
  <c r="S89" i="8"/>
  <c r="K100" i="6"/>
  <c r="K121" i="6" s="1"/>
  <c r="K123" i="6" s="1"/>
  <c r="I131" i="6"/>
  <c r="P138" i="10"/>
  <c r="S120" i="7"/>
  <c r="I125" i="6"/>
  <c r="I126" i="6" s="1"/>
  <c r="G127" i="6"/>
  <c r="K131" i="6" l="1"/>
  <c r="M121" i="6"/>
  <c r="M123" i="6" s="1"/>
  <c r="M100" i="6"/>
  <c r="S94" i="8"/>
  <c r="U89" i="9"/>
  <c r="S115" i="8"/>
  <c r="S117" i="8" s="1"/>
  <c r="I156" i="6" s="1"/>
  <c r="E128" i="9"/>
  <c r="S120" i="8"/>
  <c r="I127" i="6"/>
  <c r="K125" i="6"/>
  <c r="K126" i="6" s="1"/>
  <c r="V94" i="7"/>
  <c r="V115" i="7" s="1"/>
  <c r="V117" i="7" s="1"/>
  <c r="S128" i="7"/>
  <c r="G139" i="6" s="1"/>
  <c r="G149" i="6" s="1"/>
  <c r="G152" i="6" s="1"/>
  <c r="E128" i="8"/>
  <c r="U94" i="8"/>
  <c r="U115" i="8" s="1"/>
  <c r="U117" i="8" s="1"/>
  <c r="V89" i="8"/>
  <c r="S89" i="9"/>
  <c r="E138" i="8" l="1"/>
  <c r="E141" i="8" s="1"/>
  <c r="F139" i="8" s="1"/>
  <c r="F141" i="8" s="1"/>
  <c r="G139" i="8" s="1"/>
  <c r="G141" i="8" s="1"/>
  <c r="H139" i="8" s="1"/>
  <c r="H141" i="8" s="1"/>
  <c r="I139" i="8" s="1"/>
  <c r="I141" i="8" s="1"/>
  <c r="J139" i="8" s="1"/>
  <c r="J141" i="8" s="1"/>
  <c r="K139" i="8" s="1"/>
  <c r="K141" i="8" s="1"/>
  <c r="L139" i="8" s="1"/>
  <c r="L141" i="8" s="1"/>
  <c r="M139" i="8" s="1"/>
  <c r="M141" i="8" s="1"/>
  <c r="N139" i="8" s="1"/>
  <c r="N141" i="8" s="1"/>
  <c r="O139" i="8" s="1"/>
  <c r="O141" i="8" s="1"/>
  <c r="P139" i="8" s="1"/>
  <c r="P141" i="8" s="1"/>
  <c r="E139" i="9" s="1"/>
  <c r="S128" i="8"/>
  <c r="I139" i="6" s="1"/>
  <c r="I149" i="6" s="1"/>
  <c r="M125" i="6"/>
  <c r="K127" i="6"/>
  <c r="G157" i="6"/>
  <c r="I150" i="6"/>
  <c r="S89" i="10"/>
  <c r="U115" i="9"/>
  <c r="U117" i="9" s="1"/>
  <c r="U94" i="9"/>
  <c r="V89" i="9"/>
  <c r="U89" i="10"/>
  <c r="S115" i="9"/>
  <c r="S117" i="9" s="1"/>
  <c r="K156" i="6" s="1"/>
  <c r="S94" i="9"/>
  <c r="E138" i="9"/>
  <c r="M131" i="6"/>
  <c r="V115" i="8"/>
  <c r="V117" i="8" s="1"/>
  <c r="V94" i="8"/>
  <c r="S120" i="9"/>
  <c r="E128" i="10"/>
  <c r="M126" i="6" l="1"/>
  <c r="M127" i="6" s="1"/>
  <c r="E141" i="9"/>
  <c r="F139" i="9" s="1"/>
  <c r="F141" i="9" s="1"/>
  <c r="G139" i="9" s="1"/>
  <c r="G141" i="9" s="1"/>
  <c r="H139" i="9" s="1"/>
  <c r="H141" i="9" s="1"/>
  <c r="I139" i="9" s="1"/>
  <c r="I141" i="9" s="1"/>
  <c r="J139" i="9" s="1"/>
  <c r="J141" i="9" s="1"/>
  <c r="K139" i="9" s="1"/>
  <c r="K141" i="9" s="1"/>
  <c r="L139" i="9" s="1"/>
  <c r="L141" i="9" s="1"/>
  <c r="M139" i="9" s="1"/>
  <c r="M141" i="9" s="1"/>
  <c r="N139" i="9" s="1"/>
  <c r="N141" i="9" s="1"/>
  <c r="O139" i="9" s="1"/>
  <c r="O141" i="9" s="1"/>
  <c r="P139" i="9" s="1"/>
  <c r="P141" i="9" s="1"/>
  <c r="E139" i="10" s="1"/>
  <c r="V94" i="9"/>
  <c r="V115" i="9" s="1"/>
  <c r="V117" i="9" s="1"/>
  <c r="V89" i="10"/>
  <c r="U94" i="10"/>
  <c r="U115" i="10" s="1"/>
  <c r="U117" i="10" s="1"/>
  <c r="E138" i="10"/>
  <c r="S94" i="10"/>
  <c r="S115" i="10"/>
  <c r="S117" i="10" s="1"/>
  <c r="M156" i="6" s="1"/>
  <c r="S128" i="10"/>
  <c r="M139" i="6" s="1"/>
  <c r="M149" i="6" s="1"/>
  <c r="I152" i="6"/>
  <c r="S128" i="9"/>
  <c r="K139" i="6" s="1"/>
  <c r="K149" i="6" s="1"/>
  <c r="E141" i="10" l="1"/>
  <c r="F139" i="10" s="1"/>
  <c r="F141" i="10" s="1"/>
  <c r="G139" i="10" s="1"/>
  <c r="G141" i="10" s="1"/>
  <c r="H139" i="10" s="1"/>
  <c r="H141" i="10" s="1"/>
  <c r="I139" i="10" s="1"/>
  <c r="I141" i="10" s="1"/>
  <c r="J139" i="10" s="1"/>
  <c r="J141" i="10" s="1"/>
  <c r="K139" i="10" s="1"/>
  <c r="K141" i="10" s="1"/>
  <c r="L139" i="10" s="1"/>
  <c r="L141" i="10" s="1"/>
  <c r="M139" i="10" s="1"/>
  <c r="M141" i="10" s="1"/>
  <c r="N139" i="10" s="1"/>
  <c r="N141" i="10" s="1"/>
  <c r="O139" i="10" s="1"/>
  <c r="O141" i="10" s="1"/>
  <c r="P139" i="10" s="1"/>
  <c r="P141" i="10" s="1"/>
  <c r="V94" i="10"/>
  <c r="V115" i="10" s="1"/>
  <c r="V117" i="10" s="1"/>
  <c r="K150" i="6"/>
  <c r="K152" i="6" s="1"/>
  <c r="I157" i="6"/>
  <c r="M150" i="6" l="1"/>
  <c r="M152" i="6" s="1"/>
  <c r="M157" i="6" s="1"/>
  <c r="K157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D. Hawk</author>
  </authors>
  <commentList>
    <comment ref="E33" authorId="0" shapeId="0" xr:uid="{6CAB6B6A-396B-47DB-A9DC-90C65707526E}">
      <text>
        <r>
          <rPr>
            <b/>
            <sz val="9"/>
            <color indexed="81"/>
            <rFont val="Tahoma"/>
            <family val="2"/>
          </rPr>
          <t>John D. Hawk:</t>
        </r>
        <r>
          <rPr>
            <sz val="9"/>
            <color indexed="81"/>
            <rFont val="Tahoma"/>
            <family val="2"/>
          </rPr>
          <t xml:space="preserve">
increase to add CTE</t>
        </r>
      </text>
    </comment>
    <comment ref="E45" authorId="0" shapeId="0" xr:uid="{13603629-BEF2-49C5-AA9F-3F6D928278F3}">
      <text>
        <r>
          <rPr>
            <b/>
            <sz val="9"/>
            <color indexed="81"/>
            <rFont val="Tahoma"/>
            <family val="2"/>
          </rPr>
          <t>John D. Hawk:</t>
        </r>
        <r>
          <rPr>
            <sz val="9"/>
            <color indexed="81"/>
            <rFont val="Tahoma"/>
            <family val="2"/>
          </rPr>
          <t xml:space="preserve">
increase to add CTE</t>
        </r>
      </text>
    </comment>
    <comment ref="E49" authorId="0" shapeId="0" xr:uid="{690982AD-6AA0-4D99-899E-8E152E446F21}">
      <text>
        <r>
          <rPr>
            <b/>
            <sz val="9"/>
            <color indexed="81"/>
            <rFont val="Tahoma"/>
            <family val="2"/>
          </rPr>
          <t>John D. Hawk:</t>
        </r>
        <r>
          <rPr>
            <sz val="9"/>
            <color indexed="81"/>
            <rFont val="Tahoma"/>
            <family val="2"/>
          </rPr>
          <t xml:space="preserve">
increase to add CTE</t>
        </r>
      </text>
    </comment>
    <comment ref="E55" authorId="0" shapeId="0" xr:uid="{E3E5A930-94F1-4DEA-A6B8-E4F5C18F22AF}">
      <text>
        <r>
          <rPr>
            <b/>
            <sz val="9"/>
            <color indexed="81"/>
            <rFont val="Tahoma"/>
            <family val="2"/>
          </rPr>
          <t>John D. Hawk:</t>
        </r>
        <r>
          <rPr>
            <sz val="9"/>
            <color indexed="81"/>
            <rFont val="Tahoma"/>
            <family val="2"/>
          </rPr>
          <t xml:space="preserve">
increase to add CTE</t>
        </r>
      </text>
    </comment>
    <comment ref="E58" authorId="0" shapeId="0" xr:uid="{9F2E5991-3CC9-4CAB-B959-D2907B3E20D6}">
      <text>
        <r>
          <rPr>
            <b/>
            <sz val="9"/>
            <color indexed="81"/>
            <rFont val="Tahoma"/>
            <family val="2"/>
          </rPr>
          <t>John D. Hawk:</t>
        </r>
        <r>
          <rPr>
            <sz val="9"/>
            <color indexed="81"/>
            <rFont val="Tahoma"/>
            <family val="2"/>
          </rPr>
          <t xml:space="preserve">
increase to add CTE</t>
        </r>
      </text>
    </comment>
    <comment ref="E61" authorId="0" shapeId="0" xr:uid="{8706423F-1893-454A-B247-B6E2762A0CC1}">
      <text>
        <r>
          <rPr>
            <b/>
            <sz val="9"/>
            <color indexed="81"/>
            <rFont val="Tahoma"/>
            <family val="2"/>
          </rPr>
          <t>John D. Hawk:</t>
        </r>
        <r>
          <rPr>
            <sz val="9"/>
            <color indexed="81"/>
            <rFont val="Tahoma"/>
            <family val="2"/>
          </rPr>
          <t xml:space="preserve">
increase to add CTE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Spencer Styles</author>
  </authors>
  <commentList>
    <comment ref="I9" authorId="0" shapeId="0" xr:uid="{00000000-0006-0000-0B00-000001000000}">
      <text>
        <r>
          <rPr>
            <sz val="9"/>
            <color indexed="81"/>
            <rFont val="Tahoma"/>
            <family val="2"/>
          </rPr>
          <t>To calculate benefits, enter:
  - y for benefits
  - n for no benefits</t>
        </r>
      </text>
    </comment>
    <comment ref="I15" authorId="0" shapeId="0" xr:uid="{00000000-0006-0000-0B00-000002000000}">
      <text>
        <r>
          <rPr>
            <sz val="9"/>
            <color indexed="81"/>
            <rFont val="Tahoma"/>
            <family val="2"/>
          </rPr>
          <t>To calculate benefits, enter:
  - y for benefits
  - n for no benefits</t>
        </r>
      </text>
    </comment>
    <comment ref="I26" authorId="0" shapeId="0" xr:uid="{00000000-0006-0000-0B00-000003000000}">
      <text>
        <r>
          <rPr>
            <sz val="9"/>
            <color indexed="81"/>
            <rFont val="Tahoma"/>
            <family val="2"/>
          </rPr>
          <t>To calculate benefits, enter:
  - y for benefits
  - n for no benefits</t>
        </r>
      </text>
    </comment>
    <comment ref="E50" authorId="0" shapeId="0" xr:uid="{00000000-0006-0000-0B00-000004000000}">
      <text>
        <r>
          <rPr>
            <sz val="9"/>
            <color indexed="81"/>
            <rFont val="Tahoma"/>
            <family val="2"/>
          </rPr>
          <t>Enter the amount per payment</t>
        </r>
      </text>
    </comment>
    <comment ref="E56" authorId="0" shapeId="0" xr:uid="{00000000-0006-0000-0B00-000005000000}">
      <text>
        <r>
          <rPr>
            <sz val="9"/>
            <color indexed="81"/>
            <rFont val="Tahoma"/>
            <family val="2"/>
          </rPr>
          <t>Enter the amount per payment</t>
        </r>
      </text>
    </comment>
    <comment ref="E69" authorId="0" shapeId="0" xr:uid="{00000000-0006-0000-0B00-000006000000}">
      <text>
        <r>
          <rPr>
            <sz val="9"/>
            <color indexed="81"/>
            <rFont val="Tahoma"/>
            <family val="2"/>
          </rPr>
          <t>Enter the amount per payment</t>
        </r>
      </text>
    </comment>
  </commentList>
</comments>
</file>

<file path=xl/sharedStrings.xml><?xml version="1.0" encoding="utf-8"?>
<sst xmlns="http://schemas.openxmlformats.org/spreadsheetml/2006/main" count="5441" uniqueCount="828">
  <si>
    <t>Ad Valorem Taxes</t>
  </si>
  <si>
    <t>Sales and Use Taxes</t>
  </si>
  <si>
    <t>Franchise Fees</t>
  </si>
  <si>
    <t>Basic General Governmental Services Tax</t>
  </si>
  <si>
    <t>Other Activity Income</t>
  </si>
  <si>
    <t>Special Ed portion to DSA</t>
  </si>
  <si>
    <t>Restricted Grants-in-Aid</t>
  </si>
  <si>
    <t>Special Education Part B</t>
  </si>
  <si>
    <t>Personal Services-Salaries</t>
  </si>
  <si>
    <t>Purchased Professional and Technical Services</t>
  </si>
  <si>
    <t>Professional Educational Services</t>
  </si>
  <si>
    <t>Prof-Dev/Instructional Lic. Personnel</t>
  </si>
  <si>
    <t>Prof-Dev/Administrative Lic. Personnel</t>
  </si>
  <si>
    <t>Prof-Dev/Other Classfied-Support Personnel</t>
  </si>
  <si>
    <t>Prof-Dev/Technology Training</t>
  </si>
  <si>
    <t>Other Professional Services</t>
  </si>
  <si>
    <t>Marketing</t>
  </si>
  <si>
    <t>Technical Services</t>
  </si>
  <si>
    <t>Data Processing and Coding Services</t>
  </si>
  <si>
    <t>Utility Services</t>
  </si>
  <si>
    <t>Cleaning Services</t>
  </si>
  <si>
    <t>Repairs and Maintenance Services</t>
  </si>
  <si>
    <t>Renting Land and Buildings</t>
  </si>
  <si>
    <t>Student Transportation Purchased From Other Source</t>
  </si>
  <si>
    <t>Property Insurance ''Business Owners''</t>
  </si>
  <si>
    <t>Liability Insurance ''Errors and Omissions''</t>
  </si>
  <si>
    <t>Fidelity / Other Insurance ''Umbrella''</t>
  </si>
  <si>
    <t>Postage</t>
  </si>
  <si>
    <t>Telephone - Cell phone services</t>
  </si>
  <si>
    <t>Data Communications, Internet, Video, T-lines, etc</t>
  </si>
  <si>
    <t>Advertising</t>
  </si>
  <si>
    <t>Printing and Binding</t>
  </si>
  <si>
    <t>Tuition-Other</t>
  </si>
  <si>
    <t>Travel</t>
  </si>
  <si>
    <t>General Supplies</t>
  </si>
  <si>
    <t>Technology Supplies and Equipment</t>
  </si>
  <si>
    <t>Electricity</t>
  </si>
  <si>
    <t xml:space="preserve">Textbooks </t>
  </si>
  <si>
    <t>Classroom Technology Fees</t>
  </si>
  <si>
    <t>Supplies -Tech -Software</t>
  </si>
  <si>
    <t>Supplies-Equipment</t>
  </si>
  <si>
    <t>Technology-Related Hardware</t>
  </si>
  <si>
    <t>Dues and Fees</t>
  </si>
  <si>
    <t>General</t>
  </si>
  <si>
    <t>6111</t>
  </si>
  <si>
    <t>6114</t>
  </si>
  <si>
    <t>6117</t>
  </si>
  <si>
    <t>6127</t>
  </si>
  <si>
    <t>6151</t>
  </si>
  <si>
    <t>6154</t>
  </si>
  <si>
    <t>6157</t>
  </si>
  <si>
    <t>6161</t>
  </si>
  <si>
    <t>6164</t>
  </si>
  <si>
    <t>6167</t>
  </si>
  <si>
    <t>Year-End Accruals</t>
  </si>
  <si>
    <t>Annual Budget</t>
  </si>
  <si>
    <t>Favorable / (Unfav.)</t>
  </si>
  <si>
    <t>PY Forecast</t>
  </si>
  <si>
    <t>Revenues</t>
  </si>
  <si>
    <t>Expenses</t>
  </si>
  <si>
    <t>Revenue Inputs</t>
  </si>
  <si>
    <t xml:space="preserve">School Name: </t>
  </si>
  <si>
    <t>Enrollment &amp; Demographics</t>
  </si>
  <si>
    <t>TK</t>
  </si>
  <si>
    <t>K</t>
  </si>
  <si>
    <t>Grade</t>
  </si>
  <si>
    <t>Total</t>
  </si>
  <si>
    <t>FY21</t>
  </si>
  <si>
    <t>FY22</t>
  </si>
  <si>
    <t>FY23</t>
  </si>
  <si>
    <t>FY24</t>
  </si>
  <si>
    <t>Funding Rates</t>
  </si>
  <si>
    <t>DSA Rates</t>
  </si>
  <si>
    <t>Basic Support</t>
  </si>
  <si>
    <t>Other State Funding</t>
  </si>
  <si>
    <t>Federal Funding</t>
  </si>
  <si>
    <t>Local Funding</t>
  </si>
  <si>
    <t>Payroll Details</t>
  </si>
  <si>
    <t>Salary</t>
  </si>
  <si>
    <t>Name</t>
  </si>
  <si>
    <t>Title</t>
  </si>
  <si>
    <t>Code</t>
  </si>
  <si>
    <t>Medicare</t>
  </si>
  <si>
    <t>Worker's Comp</t>
  </si>
  <si>
    <t>n/a</t>
  </si>
  <si>
    <t>Benefit Rates</t>
  </si>
  <si>
    <t>Social Security</t>
  </si>
  <si>
    <t>Health Benefits COLA</t>
  </si>
  <si>
    <t>Total Group Insurance</t>
  </si>
  <si>
    <t>AD&amp;D</t>
  </si>
  <si>
    <t>TermLife</t>
  </si>
  <si>
    <t>LTD</t>
  </si>
  <si>
    <t>Health</t>
  </si>
  <si>
    <t>Dental</t>
  </si>
  <si>
    <t>Vision</t>
  </si>
  <si>
    <t>Total Health Insurance</t>
  </si>
  <si>
    <t>Salaries: Teachers</t>
  </si>
  <si>
    <t>Extra Duties: Teachers</t>
  </si>
  <si>
    <t>Extra Duties: Licensed Administration</t>
  </si>
  <si>
    <t>Personnel Services - Employee Benefits</t>
  </si>
  <si>
    <t>Purchased Property Services</t>
  </si>
  <si>
    <t>Other Purchased Services</t>
  </si>
  <si>
    <t>Supplies</t>
  </si>
  <si>
    <t>Property</t>
  </si>
  <si>
    <t>Debt Service and Misc.</t>
  </si>
  <si>
    <t>Total Revenue</t>
  </si>
  <si>
    <t>Original Budget</t>
  </si>
  <si>
    <t>Total Expenses</t>
  </si>
  <si>
    <t>Surplus (Deficit)</t>
  </si>
  <si>
    <t>Cash Flow Adjustments</t>
  </si>
  <si>
    <t>Monthly Surplus (Deficit)</t>
  </si>
  <si>
    <t/>
  </si>
  <si>
    <t>Cash flows from operating activities</t>
  </si>
  <si>
    <t>Depreciation/Amortization</t>
  </si>
  <si>
    <t>Public Funding Receivables</t>
  </si>
  <si>
    <t>Grants and Contributions Rec.</t>
  </si>
  <si>
    <t>Due To/From Related Parties</t>
  </si>
  <si>
    <t>Prepaid Expenses</t>
  </si>
  <si>
    <t>Other Assets</t>
  </si>
  <si>
    <t>Accounts Payable</t>
  </si>
  <si>
    <t>Accrued Expenses</t>
  </si>
  <si>
    <t>Other Liabilities</t>
  </si>
  <si>
    <t>Cash flows from investing activities</t>
  </si>
  <si>
    <t>Purchases of Prop. And Equip.</t>
  </si>
  <si>
    <t>Notes Receivable</t>
  </si>
  <si>
    <t>Cash flows from financing activities</t>
  </si>
  <si>
    <t>Total Change in Cash</t>
  </si>
  <si>
    <t>Cash, Beginning of Month</t>
  </si>
  <si>
    <t>Cash, End of Month</t>
  </si>
  <si>
    <t>Proceeds from Debt</t>
  </si>
  <si>
    <t>Proceeds on Debt</t>
  </si>
  <si>
    <t>Description</t>
  </si>
  <si>
    <t>Quantity</t>
  </si>
  <si>
    <t>Cost</t>
  </si>
  <si>
    <t>Extended</t>
  </si>
  <si>
    <t>Expense Details</t>
  </si>
  <si>
    <t>Payroll COLA Increases</t>
  </si>
  <si>
    <t>Multi-Year Projection</t>
  </si>
  <si>
    <t>surplus</t>
  </si>
  <si>
    <t>cash</t>
  </si>
  <si>
    <t>Check Figures</t>
  </si>
  <si>
    <t>Key Assumptions</t>
  </si>
  <si>
    <t>Attendance</t>
  </si>
  <si>
    <t>DSA Funding Rate</t>
  </si>
  <si>
    <t>Payrol COLA</t>
  </si>
  <si>
    <t>OPEX COLA</t>
  </si>
  <si>
    <t>Annual/Full Year</t>
  </si>
  <si>
    <t>Fav/(Unf)</t>
  </si>
  <si>
    <t>Revenue</t>
  </si>
  <si>
    <t>Federal Revenue</t>
  </si>
  <si>
    <t>Other Local Revenue</t>
  </si>
  <si>
    <t xml:space="preserve">Total Surplus(Deficit) </t>
  </si>
  <si>
    <t>Beginning Fund Balance</t>
  </si>
  <si>
    <t>Ending Fund Balance</t>
  </si>
  <si>
    <t>Fund Balance, Beginning of Year</t>
  </si>
  <si>
    <t>Fund Balance, End of Year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</si>
  <si>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</si>
  <si>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</si>
  <si>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</si>
  <si>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</si>
  <si>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</si>
  <si>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</si>
  <si>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</si>
  <si>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</si>
  <si>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</si>
  <si>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</si>
  <si>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</si>
  <si>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</si>
  <si>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Budgeted Monthly Enrollment</t>
  </si>
  <si>
    <t>Distributive School Account</t>
  </si>
  <si>
    <t>State Revenue</t>
  </si>
  <si>
    <t>Distributed School Account</t>
  </si>
  <si>
    <t>Property Services</t>
  </si>
  <si>
    <t>Employee Benefits</t>
  </si>
  <si>
    <t>Salaries</t>
  </si>
  <si>
    <t>Prof. and Tech. Services</t>
  </si>
  <si>
    <t>Attendance Tracking</t>
  </si>
  <si>
    <t>Depreciation</t>
  </si>
  <si>
    <t>Financial Performance Measures</t>
  </si>
  <si>
    <t>Enrollment Forecast Accuracy</t>
  </si>
  <si>
    <t>Total Margin</t>
  </si>
  <si>
    <t>Debt to Asset Ratio</t>
  </si>
  <si>
    <t>Debt Service Coverage Ratio</t>
  </si>
  <si>
    <t>Average</t>
  </si>
  <si>
    <t>Funding Timing</t>
  </si>
  <si>
    <t>E-Rate</t>
  </si>
  <si>
    <t>Tuition-Classroom Fees</t>
  </si>
  <si>
    <t>Growth Rate</t>
  </si>
  <si>
    <t>Revenue Growth Rate</t>
  </si>
  <si>
    <t>Additional Compensation: Teachers</t>
  </si>
  <si>
    <t>Additional Compensation: Licensed Admin.</t>
  </si>
  <si>
    <t>Regular Employees: Teachers</t>
  </si>
  <si>
    <t>Regular Employees: Licensed Adm</t>
  </si>
  <si>
    <t>Health Benefits: Teachers</t>
  </si>
  <si>
    <t>Health Benefits: Licensed Admin.</t>
  </si>
  <si>
    <t xml:space="preserve">Health Benefits: Other Classified/Support </t>
  </si>
  <si>
    <t>Medicare: Teachers</t>
  </si>
  <si>
    <t>Medicare: Licensed Admin.</t>
  </si>
  <si>
    <t>Group Insurance: Teacher</t>
  </si>
  <si>
    <t>Group Insurance: Licensed Admin.</t>
  </si>
  <si>
    <t>Group Insurance: Other Classified/Support Staff</t>
  </si>
  <si>
    <t>Salaries: Licensed Admin</t>
  </si>
  <si>
    <t>Extra Duties: Licensed Admin</t>
  </si>
  <si>
    <t>Group Insurance: Licensed Admin</t>
  </si>
  <si>
    <t>Health Benefits: Licensed Admin</t>
  </si>
  <si>
    <t>Retirement: Teachers</t>
  </si>
  <si>
    <t>Retirement: Licensed Admin.</t>
  </si>
  <si>
    <t>Unemployment: Teachers</t>
  </si>
  <si>
    <t>Unemployment: Licensed Admin.</t>
  </si>
  <si>
    <t>Worker's Comp: Teachers</t>
  </si>
  <si>
    <t>Worker's Comp: Licensed Admin.</t>
  </si>
  <si>
    <t>Extra Duties: Other Classified/Support Staff</t>
  </si>
  <si>
    <t>Salaries: Other Classified/Support Staff</t>
  </si>
  <si>
    <t>Temp Salaries: Other Classified/Support Staff</t>
  </si>
  <si>
    <t>Medicare: Other Classified/Support Staff</t>
  </si>
  <si>
    <t>Unemployment: Licensed Admin</t>
  </si>
  <si>
    <t>Unemployment: Other Classified/Support Staff</t>
  </si>
  <si>
    <t>Worker's Comp: Licensed Admin</t>
  </si>
  <si>
    <t>Worker's Comp: Other Classified/Support Staff</t>
  </si>
  <si>
    <t>Retirement: Licensed Admin</t>
  </si>
  <si>
    <t>Retirement: Other Classified/Support Staff</t>
  </si>
  <si>
    <t>Social Security: Temp Other Classified</t>
  </si>
  <si>
    <t>Group Insurance: Other Classified</t>
  </si>
  <si>
    <t>Retirement: Other Classified</t>
  </si>
  <si>
    <t>Medicare: Other Classified</t>
  </si>
  <si>
    <t>Unemployment: Other Classified</t>
  </si>
  <si>
    <t>Worker's Comp: Other Classified</t>
  </si>
  <si>
    <t xml:space="preserve">Health Benefits: Other Classified </t>
  </si>
  <si>
    <t>Regular Employees: Other Classified</t>
  </si>
  <si>
    <t>Temporary Employees: Other Classified</t>
  </si>
  <si>
    <t>Additional Compensation: Other Classified</t>
  </si>
  <si>
    <t>Extra Duties: Other Classified</t>
  </si>
  <si>
    <t>Regular Employees: Licensed Admin</t>
  </si>
  <si>
    <t>Additional Compensation: Licensed Admin</t>
  </si>
  <si>
    <t xml:space="preserve">Student Transportation </t>
  </si>
  <si>
    <t>Data Communications, Internet, Video</t>
  </si>
  <si>
    <t>Total Salaries</t>
  </si>
  <si>
    <t>Group Insurance</t>
  </si>
  <si>
    <t>Retirement</t>
  </si>
  <si>
    <t>Unemployment</t>
  </si>
  <si>
    <t>Health Benefits</t>
  </si>
  <si>
    <t>Total Benefits</t>
  </si>
  <si>
    <t>salaries</t>
  </si>
  <si>
    <t>benefits</t>
  </si>
  <si>
    <t>Object Code</t>
  </si>
  <si>
    <t>PERS</t>
  </si>
  <si>
    <t>PERS Retirement - EE</t>
  </si>
  <si>
    <t>PERS Retirement - ER</t>
  </si>
  <si>
    <t>12 Month Contract Rate</t>
  </si>
  <si>
    <t>FY19-20</t>
  </si>
  <si>
    <t>Days Cash-on-Hand</t>
  </si>
  <si>
    <t>Prior Year Total</t>
  </si>
  <si>
    <t>Prior Year</t>
  </si>
  <si>
    <t>Fasorable / (Unfas.)</t>
  </si>
  <si>
    <t>Change</t>
  </si>
  <si>
    <t>Per Pupil Amount from the State</t>
  </si>
  <si>
    <t>Central Office %</t>
  </si>
  <si>
    <t>Per Pupil Amount to Schools</t>
  </si>
  <si>
    <t>0000-000</t>
  </si>
  <si>
    <t>1000-000</t>
  </si>
  <si>
    <t>1001-000</t>
  </si>
  <si>
    <t>2120-000</t>
  </si>
  <si>
    <t>2130-000</t>
  </si>
  <si>
    <t>2140-000</t>
  </si>
  <si>
    <t>2240-000</t>
  </si>
  <si>
    <t>2310-000</t>
  </si>
  <si>
    <t>2320-000</t>
  </si>
  <si>
    <t>2410-000</t>
  </si>
  <si>
    <t>2500-000</t>
  </si>
  <si>
    <t>2560-000</t>
  </si>
  <si>
    <t>2570-000</t>
  </si>
  <si>
    <t>2580-000</t>
  </si>
  <si>
    <t>2600-000</t>
  </si>
  <si>
    <t>2610-000</t>
  </si>
  <si>
    <t>2620-000</t>
  </si>
  <si>
    <t>2710-000</t>
  </si>
  <si>
    <t>2900-000</t>
  </si>
  <si>
    <t>0000-325</t>
  </si>
  <si>
    <t>1000-325</t>
  </si>
  <si>
    <t>0000-352</t>
  </si>
  <si>
    <t>1000-352</t>
  </si>
  <si>
    <t>2240-352</t>
  </si>
  <si>
    <t>0000-661</t>
  </si>
  <si>
    <t>1000-661</t>
  </si>
  <si>
    <t>2320-661</t>
  </si>
  <si>
    <t>2500-661</t>
  </si>
  <si>
    <t>2580-661</t>
  </si>
  <si>
    <t>0000-709</t>
  </si>
  <si>
    <t>1000-709</t>
  </si>
  <si>
    <t>2320-709</t>
  </si>
  <si>
    <t>2500-709</t>
  </si>
  <si>
    <t>Function-Grant</t>
  </si>
  <si>
    <t>Check</t>
  </si>
  <si>
    <t>Cycle Name</t>
  </si>
  <si>
    <t>Fund Element Value</t>
  </si>
  <si>
    <t>Budget Pool Number</t>
  </si>
  <si>
    <t>Account Code</t>
  </si>
  <si>
    <t>Account Type Name</t>
  </si>
  <si>
    <t>Amount</t>
  </si>
  <si>
    <t>Auto Create Account</t>
  </si>
  <si>
    <t>Comment</t>
  </si>
  <si>
    <t>Required</t>
  </si>
  <si>
    <t>An existing Accounting Cycle name.
varchar(32)</t>
  </si>
  <si>
    <t>Fund element value for new Budget.
varchar(64)</t>
  </si>
  <si>
    <r>
      <t xml:space="preserve">Use a unique number for each different pool;
Use a </t>
    </r>
    <r>
      <rPr>
        <b/>
        <i/>
        <sz val="8"/>
        <rFont val="Arial"/>
        <family val="2"/>
      </rPr>
      <t>0</t>
    </r>
    <r>
      <rPr>
        <i/>
        <sz val="8"/>
        <rFont val="Arial"/>
        <family val="2"/>
      </rPr>
      <t xml:space="preserve"> for no pooling;
int</t>
    </r>
  </si>
  <si>
    <t>Full account code for the Budget line.
varchar(255)</t>
  </si>
  <si>
    <t>One of the following:
Asset
Liability
Expenditure
Revenue
Other Financing Uses
Other Financing Sources
Fund Balance/Retained Earnings
varchar(32)</t>
  </si>
  <si>
    <t>money</t>
  </si>
  <si>
    <r>
      <t xml:space="preserve">Set to Yes to create the account code when it does not exists.
</t>
    </r>
    <r>
      <rPr>
        <b/>
        <i/>
        <sz val="8"/>
        <rFont val="Arial"/>
        <family val="2"/>
      </rPr>
      <t>1</t>
    </r>
    <r>
      <rPr>
        <i/>
        <sz val="8"/>
        <rFont val="Arial"/>
        <family val="2"/>
      </rPr>
      <t xml:space="preserve"> - Yes
</t>
    </r>
    <r>
      <rPr>
        <b/>
        <i/>
        <sz val="8"/>
        <rFont val="Arial"/>
        <family val="2"/>
      </rPr>
      <t>0</t>
    </r>
    <r>
      <rPr>
        <i/>
        <sz val="8"/>
        <rFont val="Arial"/>
        <family val="2"/>
      </rPr>
      <t xml:space="preserve"> - No
int</t>
    </r>
  </si>
  <si>
    <t>varchar(255)</t>
  </si>
  <si>
    <t>100</t>
  </si>
  <si>
    <t>0</t>
  </si>
  <si>
    <t>Expenditure</t>
  </si>
  <si>
    <t>Object</t>
  </si>
  <si>
    <t>Function</t>
  </si>
  <si>
    <t>Grant</t>
  </si>
  <si>
    <t xml:space="preserve">Title </t>
  </si>
  <si>
    <t>Hourly Rate</t>
  </si>
  <si>
    <t>Annual</t>
  </si>
  <si>
    <t xml:space="preserve">Performance Incentives: Teachers </t>
  </si>
  <si>
    <t xml:space="preserve">Performance Incentives: Licensed Admin </t>
  </si>
  <si>
    <t>Performance Incentives: Other Classified/Support Staff</t>
  </si>
  <si>
    <t>Incentive Amount</t>
  </si>
  <si>
    <t>2510-000</t>
  </si>
  <si>
    <t>Technical Services - Technology</t>
  </si>
  <si>
    <t>Marketing Services</t>
  </si>
  <si>
    <t>Tuition-Other (Grant ONLY)</t>
  </si>
  <si>
    <t>Postage and Stamps</t>
  </si>
  <si>
    <t>FRL #</t>
  </si>
  <si>
    <t>SPED #</t>
  </si>
  <si>
    <t>504 #</t>
  </si>
  <si>
    <t>ELL #</t>
  </si>
  <si>
    <t>Location</t>
  </si>
  <si>
    <t>2700-000</t>
  </si>
  <si>
    <t>Annual Rate</t>
  </si>
  <si>
    <t>EE/ER</t>
  </si>
  <si>
    <t>CCR #</t>
  </si>
  <si>
    <t>FTE</t>
  </si>
  <si>
    <t>N/A</t>
  </si>
  <si>
    <t>USE THIS FORM FOR REQUESTING CHANGES TO THE THE PROTECTED ITEMS ON YOUR BUDGET FORMS (ANY)</t>
  </si>
  <si>
    <t>Line Item</t>
  </si>
  <si>
    <t>Worksheet</t>
  </si>
  <si>
    <t>Item Name</t>
  </si>
  <si>
    <t>Current Budget Amt</t>
  </si>
  <si>
    <t>Requested Budget Amt</t>
  </si>
  <si>
    <t>Rationale</t>
  </si>
  <si>
    <t>4703  E-rate (50% of Internet ONLY)</t>
  </si>
  <si>
    <t>1790  Other Income</t>
  </si>
  <si>
    <t xml:space="preserve">3115  Special Education portion to DSA </t>
  </si>
  <si>
    <t>1110  Ad Valorem Taxes</t>
  </si>
  <si>
    <t>1120  Sales and Use Taxes</t>
  </si>
  <si>
    <t>1191  Franchise Fees</t>
  </si>
  <si>
    <t>1192  General Gov. Services Tax</t>
  </si>
  <si>
    <t>3110  Basic Support</t>
  </si>
  <si>
    <t>325/352</t>
  </si>
  <si>
    <t>661/633/709/658</t>
  </si>
  <si>
    <t>NOTES:</t>
  </si>
  <si>
    <t>Requires external data (Actual cash balance)</t>
  </si>
  <si>
    <t>OK</t>
  </si>
  <si>
    <t>Requires external data (List of debts and assets)</t>
  </si>
  <si>
    <t>Requires external data (Debt listing)</t>
  </si>
  <si>
    <t>FY25</t>
  </si>
  <si>
    <t>Program Number</t>
  </si>
  <si>
    <t>Program Name</t>
  </si>
  <si>
    <t>021</t>
  </si>
  <si>
    <t>Sunrise HS Internal</t>
  </si>
  <si>
    <t>022</t>
  </si>
  <si>
    <t>Meadowood HS Internal</t>
  </si>
  <si>
    <t>294</t>
  </si>
  <si>
    <t>CCR HS Diploma</t>
  </si>
  <si>
    <t>325</t>
  </si>
  <si>
    <t>Teacher Supply Reimbursement</t>
  </si>
  <si>
    <t>352</t>
  </si>
  <si>
    <t>CCR - Dual Enrollment</t>
  </si>
  <si>
    <t>390</t>
  </si>
  <si>
    <t>AB 309 Block Grant</t>
  </si>
  <si>
    <t>633</t>
  </si>
  <si>
    <t>Title IA - Helping Disadvantaged Students</t>
  </si>
  <si>
    <t>639</t>
  </si>
  <si>
    <t>IDEA Part B Sp Ed Grants - Local Plan</t>
  </si>
  <si>
    <t>661</t>
  </si>
  <si>
    <t>Charter School Program Grant</t>
  </si>
  <si>
    <t>709</t>
  </si>
  <si>
    <t>Title II Part A - Improving Teacher Quality</t>
  </si>
  <si>
    <t>THIS IS A LIST OF PROGRAMS (MAINLY GRANTS) USED BY NSHS:</t>
  </si>
  <si>
    <t>Y/N</t>
  </si>
  <si>
    <t>RTC Bus Passes for students</t>
  </si>
  <si>
    <t>Unemployment (SUI &amp; CEP) $32,500 cap</t>
  </si>
  <si>
    <t>GENERAL OVERVIEW</t>
  </si>
  <si>
    <t>I</t>
  </si>
  <si>
    <t>Consists of several worksheets, each are color-coded.</t>
  </si>
  <si>
    <t>A</t>
  </si>
  <si>
    <t>Yellow tabs - these are the ones that we will be working on to complete the budget builder process.</t>
  </si>
  <si>
    <t>B</t>
  </si>
  <si>
    <t>Blue tabs - these are informational.  They show the summaries.</t>
  </si>
  <si>
    <t xml:space="preserve">C </t>
  </si>
  <si>
    <t>Green tab - Only one.  This is where all of the information we are filling in is summarized.</t>
  </si>
  <si>
    <t>D</t>
  </si>
  <si>
    <t>Black tabs - These are not really necessary for the preparation of the budget builder.</t>
  </si>
  <si>
    <t xml:space="preserve"> </t>
  </si>
  <si>
    <t xml:space="preserve">   They list various future years and the import to Aptafund</t>
  </si>
  <si>
    <t>II</t>
  </si>
  <si>
    <t>Highlights</t>
  </si>
  <si>
    <t>What we are looking for is to complete the yellow tabs, and for the most part, internal items are highlighted.</t>
  </si>
  <si>
    <t>NEW ITEM:  We (CSO) are going to pre-fill in many of the numbers.  We will go over them as we come to them.</t>
  </si>
  <si>
    <t>III</t>
  </si>
  <si>
    <t>Rev &amp; Enroll Page</t>
  </si>
  <si>
    <t>School Name: Should be pre-filled for you.  If not, simply enter the name of your campus.</t>
  </si>
  <si>
    <t>Current Year Monthly Enrollment:</t>
  </si>
  <si>
    <t>This is the same format as for previous years.  Fill in the expected monthly enrollment</t>
  </si>
  <si>
    <t>If you fill in for only a month or two, the enrollment numbers will calculate incorrectly</t>
  </si>
  <si>
    <t>Fill in the demographic information (FRL #, SPED #, etc.)</t>
  </si>
  <si>
    <t>We have supplied the per pupil amount from the State.  It is subject to change, up or down.</t>
  </si>
  <si>
    <t>We (CSO) will pre-fill the amounts of grants available to be used for each school.</t>
  </si>
  <si>
    <t>Interesting factoid:  We can put in an expected growth rate for State funding; however, it's unpredictable</t>
  </si>
  <si>
    <t>These numbers show up in the black-tabbed future years for revenue growth</t>
  </si>
  <si>
    <t>The monthly enrollment numbers are not changeable.</t>
  </si>
  <si>
    <t>IV</t>
  </si>
  <si>
    <t>Payroll Page</t>
  </si>
  <si>
    <t>By far the most complicated page of the workbook</t>
  </si>
  <si>
    <t>You will once again fill out the items in yellow on the page, but if there are more than one individual, you will fill out</t>
  </si>
  <si>
    <t xml:space="preserve">  lines below it.</t>
  </si>
  <si>
    <t>C</t>
  </si>
  <si>
    <t>Line 6111 - Salaries - Teachers.  This is the line for EACs</t>
  </si>
  <si>
    <t>Name, Title are self-explanatory</t>
  </si>
  <si>
    <t>Annual rate is the contracted salary for the year.  ONLY BASE SALARY GOES ON THIS LINE</t>
  </si>
  <si>
    <t>EE/ER.  This is a referrence to PERS.  Employer paid (ER) or employee/employer paid (EE)</t>
  </si>
  <si>
    <t>The column that says "N".  Enter Y if the person will be counted as FTE.  N if they won't (student employees)</t>
  </si>
  <si>
    <t>Months column.  Enter a 1 for each month you expect the employee to be present.  Probably a 1 for each month.</t>
  </si>
  <si>
    <t>Line 6114 - Salaries: Licensed Admin.  This is for the DSAs</t>
  </si>
  <si>
    <t>Same process as for the EACs</t>
  </si>
  <si>
    <t>E</t>
  </si>
  <si>
    <t>Line 6117 - Salaries: Other Classified/Support Staff.  This line is for the Office Managers</t>
  </si>
  <si>
    <t>F</t>
  </si>
  <si>
    <t>Line 6127 - Temp Salaries: Other Classified/Support Staff.  This line is for student/hourly workers</t>
  </si>
  <si>
    <t>NOTE 1:  Put the hourly rate in the box</t>
  </si>
  <si>
    <t>NOTE 2: These are automatically calculated at 20 hours/wk.  If you want a different number of hours, you will need</t>
  </si>
  <si>
    <t>to make a request for change</t>
  </si>
  <si>
    <t>G</t>
  </si>
  <si>
    <t>Line 6151: Performance Incentives: Teachers.  Performance incentives for EACs</t>
  </si>
  <si>
    <t>Enter the individual incentive amount in the box.</t>
  </si>
  <si>
    <t>Enter a "1" in the months that you expect to get an incentive payment.  If you're not sure, just make sure that</t>
  </si>
  <si>
    <t>you get the right number of months (if you're going to get four, make sure that there are 4 months with a 1 in them.</t>
  </si>
  <si>
    <t>Sponsorship incentives.  If you are going to get a sponsorship incentive, you will need to put a separate line item</t>
  </si>
  <si>
    <t>for that payment.  It will have a different amount.</t>
  </si>
  <si>
    <t>H</t>
  </si>
  <si>
    <t>Line 6154 - Performance Incentives: Licensed Admin.  This is the line for PIs for DSAs</t>
  </si>
  <si>
    <t>Line 6157 - Performance Incentives: Other Classified/Support Staff.  PIs for Office Managers</t>
  </si>
  <si>
    <t>J</t>
  </si>
  <si>
    <t>Line 6161 - Extra Duties: Teachers.  This is for extra duty work expected to occur next year for EACs</t>
  </si>
  <si>
    <t>Make sure that you fill in the HOURLY rate in the appropriate column (column E)</t>
  </si>
  <si>
    <t>Make sure that you fill in the NUMBER OF HOURS for each month that extra duties is expected to occur.</t>
  </si>
  <si>
    <t>Line 6164 - Extra Duties: Licensed Admin.  This is the line for DSAs</t>
  </si>
  <si>
    <t>L</t>
  </si>
  <si>
    <t>Line 6167 - Extra Duties: Other Classified/Support Staff.  This is the line for Office Managers</t>
  </si>
  <si>
    <t>M</t>
  </si>
  <si>
    <t>Fringe Benefits are calculated automatically.   Same as previous years.</t>
  </si>
  <si>
    <t>V</t>
  </si>
  <si>
    <t>Exp Details Page</t>
  </si>
  <si>
    <t>These are broken down by object code.  The process for completing each object code is the same.</t>
  </si>
  <si>
    <t>The name of each object code is listed (i.e., OBJ 6300 is "Purchased Professional and Technical Services)</t>
  </si>
  <si>
    <t>Enter the function and grant (if applicable) that will be used to pay for the item</t>
  </si>
  <si>
    <t>Enter the name of the individual spending category</t>
  </si>
  <si>
    <t>Enter the "Quantity."  If it's monthly, use 12.  If it's a one-time charge, put "1"</t>
  </si>
  <si>
    <t>Enter the Cost per unit.  For example, for monthly costs of cleaning at $50 per month, enter $50</t>
  </si>
  <si>
    <t>You will notice that several items are pre-filled.  The pre-filled items are items that you normally do not have control over.</t>
  </si>
  <si>
    <t>If you believe that the amounts that come up for each item are incorrect, submit a request for change</t>
  </si>
  <si>
    <t>VI</t>
  </si>
  <si>
    <t>Request for Change Page</t>
  </si>
  <si>
    <t>This is where you make a request for CSO to make a change to a pre-filled item.</t>
  </si>
  <si>
    <t>We recognize that for some schools, the numbers don't always add up correctly.  If you would like for us to make a change to</t>
  </si>
  <si>
    <t>a protected field, fill out the "Request for Change."</t>
  </si>
  <si>
    <t>This gives us a written record of major items that need to be changed.</t>
  </si>
  <si>
    <t>VII</t>
  </si>
  <si>
    <t>Where it all comes together</t>
  </si>
  <si>
    <t>FY21 Page</t>
  </si>
  <si>
    <t>This page shows, month by month, how your revenue will flow into the bank.</t>
  </si>
  <si>
    <t>It also shows the expenses broken down on a monthly basis</t>
  </si>
  <si>
    <t>At the bottom of the sheet is the "cash flow" section; it shows how our cash is doing month by month</t>
  </si>
  <si>
    <t>VIII</t>
  </si>
  <si>
    <t>Summary Page</t>
  </si>
  <si>
    <t>At this point, you have filled in the budget lines</t>
  </si>
  <si>
    <t>The annual/full year shows the summary of all of your revenue and expenses broken down by category</t>
  </si>
  <si>
    <t>This is the view that is shown to the Board</t>
  </si>
  <si>
    <t>IX</t>
  </si>
  <si>
    <t>Buddget Page</t>
  </si>
  <si>
    <t>Again, this it the form that is shown to the Board.</t>
  </si>
  <si>
    <t>It shows the current year's projected actual amounts with next year's budget.</t>
  </si>
  <si>
    <t>This helps us to see where there are "problems" with the preparation of the budget.  If there's a 10% variation, expect that we will</t>
  </si>
  <si>
    <t xml:space="preserve">   want an explanation as to why.</t>
  </si>
  <si>
    <t>X</t>
  </si>
  <si>
    <t>MYP.  This is the expectations for looking into the future.  It makes critical assumptions to arrive at its numbers.</t>
  </si>
  <si>
    <t>For the revenue, we have assumed a 2% growth rate every two years, with a 0 growth rate for each alternating year.</t>
  </si>
  <si>
    <t>b</t>
  </si>
  <si>
    <t>For expenses, we have assumed a 2% growth rate every year.</t>
  </si>
  <si>
    <t xml:space="preserve">   This eans that the expenses will eventually overtake the revenue, at least with this set of assumptions.</t>
  </si>
  <si>
    <t>XI</t>
  </si>
  <si>
    <t>This is of great value to CSO in that it categorizes each revenue and expense into categories that are used by the State</t>
  </si>
  <si>
    <t>EE</t>
  </si>
  <si>
    <t>Y</t>
  </si>
  <si>
    <t>REVISED</t>
  </si>
  <si>
    <t>Enter additional registration fees, conferences and events here</t>
  </si>
  <si>
    <t>Accounting: Aptafund Database Annual Subscription</t>
  </si>
  <si>
    <t>Accounting: Monthly Bank Reconciliation (Maryse Wells)</t>
  </si>
  <si>
    <t>Accounting: Annual Independent Audit (Ellsworth and Stout)</t>
  </si>
  <si>
    <t>Accounting: SPCSA Quarterly Financial Review (Zhang/Accounting Experts)</t>
  </si>
  <si>
    <t>Accounting: Budget in NDE format</t>
  </si>
  <si>
    <t>Accounting: W2's and 1099s annual processing</t>
  </si>
  <si>
    <t>Accounting: NRS 387.303 reporting</t>
  </si>
  <si>
    <t>Accounting: F33 annual reporting</t>
  </si>
  <si>
    <t>Enter other professional services here</t>
  </si>
  <si>
    <t>Gas Monthly Bill (Southwest Gas)</t>
  </si>
  <si>
    <t>Enter additional utilites here</t>
  </si>
  <si>
    <t>Enter additional cleaning services here</t>
  </si>
  <si>
    <t>Enter additional repairs and maintenance here</t>
  </si>
  <si>
    <t>Enter additional transportation services here</t>
  </si>
  <si>
    <t>Enter additional postage here</t>
  </si>
  <si>
    <t>N</t>
  </si>
  <si>
    <t>Revised Budget</t>
  </si>
  <si>
    <t>Original Budget approved on the 4/25/2019 Board Meeting</t>
  </si>
  <si>
    <t>Revised Budget approved on the 10/17/2019 Board Meeting</t>
  </si>
  <si>
    <t>FINAL</t>
  </si>
  <si>
    <t>Actual YTD</t>
  </si>
  <si>
    <t>Nevada State High School (CSO)</t>
  </si>
  <si>
    <t>Wendi Hawk</t>
  </si>
  <si>
    <t>Chief Executive Officer</t>
  </si>
  <si>
    <t>John Hawk</t>
  </si>
  <si>
    <t>Chief Operations Officer</t>
  </si>
  <si>
    <t>Candyce Farthing</t>
  </si>
  <si>
    <t>Executive Director</t>
  </si>
  <si>
    <t>AAD</t>
  </si>
  <si>
    <t>Academics and Accountability Director</t>
  </si>
  <si>
    <t>Days Buyout</t>
  </si>
  <si>
    <t>ER</t>
  </si>
  <si>
    <t>Janet Chaffin</t>
  </si>
  <si>
    <t>Data and Accountability Coordinator</t>
  </si>
  <si>
    <t>Jenna Cornia</t>
  </si>
  <si>
    <t>School Counselor</t>
  </si>
  <si>
    <t>TBA</t>
  </si>
  <si>
    <t>Special Programs Coordinator</t>
  </si>
  <si>
    <t>Finance and Operations Director</t>
  </si>
  <si>
    <t>Erika Capulo</t>
  </si>
  <si>
    <t>Operations Manager</t>
  </si>
  <si>
    <t>Tam Vo</t>
  </si>
  <si>
    <t>Business Manager</t>
  </si>
  <si>
    <t>Quincy Thomas</t>
  </si>
  <si>
    <t>Human Resource Manager</t>
  </si>
  <si>
    <t>Matthew Iles</t>
  </si>
  <si>
    <t>Marketing and Enagement Director</t>
  </si>
  <si>
    <t>Career Education Coordinator</t>
  </si>
  <si>
    <t>Board Members - 9</t>
  </si>
  <si>
    <t>Governing Body Meetings ($80 x 5)</t>
  </si>
  <si>
    <t>NA</t>
  </si>
  <si>
    <t>Melanie Canales</t>
  </si>
  <si>
    <t>Marketing Intern</t>
  </si>
  <si>
    <t>Dayana Vidal Garate</t>
  </si>
  <si>
    <t>Accounting Intern</t>
  </si>
  <si>
    <t>Title IIA: Teacher Mentor Support (NV Education Consultants $60/hr)</t>
  </si>
  <si>
    <t>Praxis Test Reimbursement</t>
  </si>
  <si>
    <t>Enter additional marketing services here</t>
  </si>
  <si>
    <t>Enter additional supplies and equipment here</t>
  </si>
  <si>
    <t>Enter technology hardware over $5000 here</t>
  </si>
  <si>
    <t>Adjusted Area</t>
  </si>
  <si>
    <t>Adjusted</t>
  </si>
  <si>
    <t>NO</t>
  </si>
  <si>
    <t>monthly</t>
  </si>
  <si>
    <t>ACTUAL</t>
  </si>
  <si>
    <t>Budget YTD</t>
  </si>
  <si>
    <t>Goal 10% Cash (apprx. 30 days)</t>
  </si>
  <si>
    <t>YES</t>
  </si>
  <si>
    <t>2140-639</t>
  </si>
  <si>
    <t>Enter additional registration fees, conferences and events here CSO Staff</t>
  </si>
  <si>
    <t>Accounting: SPCSA Quarterly Prior Period Review (Zhang/Accounting Experts)</t>
  </si>
  <si>
    <t>2310-709</t>
  </si>
  <si>
    <t>Blank comment line</t>
  </si>
  <si>
    <t>NV Energy - NW</t>
  </si>
  <si>
    <t>NV Energy - DTHEN</t>
  </si>
  <si>
    <t>Items not found  to reconcile month</t>
  </si>
  <si>
    <t>Location01 - Henderson Flagship</t>
  </si>
  <si>
    <t>Location02 - Summerlin</t>
  </si>
  <si>
    <t>Location03 - Downtown</t>
  </si>
  <si>
    <t>Location04 - Southwest</t>
  </si>
  <si>
    <t>Location06 - Northwest</t>
  </si>
  <si>
    <t>Location07 - Downtown Henderson</t>
  </si>
  <si>
    <t>Current Year Monthy Enrollment Entire Network</t>
  </si>
  <si>
    <t>Current Year Monthy Enrollment Nevada State High School Charter</t>
  </si>
  <si>
    <t>Current Year Monthy Enrollment NSHS at Sunrise Charter</t>
  </si>
  <si>
    <t>Current Year Monthy Enrollment NSHS at Meadowwood Charter</t>
  </si>
  <si>
    <t>Board Approved: Proposed: 4/16/2020</t>
  </si>
  <si>
    <t>Year-to-Date</t>
  </si>
  <si>
    <t>SPCSA Enrollment CAP</t>
  </si>
  <si>
    <t>TENATIVE</t>
  </si>
  <si>
    <t>manual</t>
  </si>
  <si>
    <t>1000-390</t>
  </si>
  <si>
    <t>1000-658</t>
  </si>
  <si>
    <t>1000-639</t>
  </si>
  <si>
    <t>3200  Reimb. for Teacher Supplies #FTE</t>
  </si>
  <si>
    <t>3200  Assembly Bill 309</t>
  </si>
  <si>
    <t>3200  College and Career Diploma (CCR)</t>
  </si>
  <si>
    <t>3200  College and Career Readiness (CCR)</t>
  </si>
  <si>
    <t>4500  CSP Dissemination</t>
  </si>
  <si>
    <t>4500  Title IA Grant</t>
  </si>
  <si>
    <t>4500  Title IIA Grant</t>
  </si>
  <si>
    <t>4500  Title III Grant</t>
  </si>
  <si>
    <t>4571  Special Education Part B</t>
  </si>
  <si>
    <t>1790  NSHS at Sunrise</t>
  </si>
  <si>
    <t>1790  NSHS at Meadowwood</t>
  </si>
  <si>
    <t>Grants</t>
  </si>
  <si>
    <t>locked</t>
  </si>
  <si>
    <t>XXXX-709</t>
  </si>
  <si>
    <t>FY20</t>
  </si>
  <si>
    <t>XXXX-633</t>
  </si>
  <si>
    <t>`</t>
  </si>
  <si>
    <t>Enter additional professional services here</t>
  </si>
  <si>
    <t>Title IIA: Travel for Conference per diem</t>
  </si>
  <si>
    <t>Title IIA: Travel for Conference Flight</t>
  </si>
  <si>
    <t>Title IIA: Travel for Conference Hotel</t>
  </si>
  <si>
    <t>Title IIA: CSAN Registration Fees: Support Staff</t>
  </si>
  <si>
    <t>2410-709</t>
  </si>
  <si>
    <t>Place additional items here</t>
  </si>
  <si>
    <t>Title IIA: ACT WorkForcee Registration Fees (Other Support Personnel)</t>
  </si>
  <si>
    <t>SPED Part B: Suasive Educational ($1250/evaluation)</t>
  </si>
  <si>
    <t>SPED Part B: Nurse Stringer or Rebecca Jones ($300/evaluation)</t>
  </si>
  <si>
    <t>Accounting: Adopting GASB68 (Initial Review and Final Billing)</t>
  </si>
  <si>
    <t>Accounting: Drafting EOY Financial Statements (Initial Review and Final Billing)</t>
  </si>
  <si>
    <t>Accounting: Consulations with Auditors (Initial Review and Final Billing)</t>
  </si>
  <si>
    <t>Accounting: EOY Review 4 (Initial Review and Final Billing) (4qtrs and EOY)</t>
  </si>
  <si>
    <t>Accounting: Misc Services (Houldsworth or Zhang)</t>
  </si>
  <si>
    <t>Other Services: Plan Management TSA 403b/457 ($50/mo.)</t>
  </si>
  <si>
    <t>Other Services: Transcription Services ($250/meeting)</t>
  </si>
  <si>
    <t>Other Services: Asbestos Management Plan for CSO location ($2500/review)</t>
  </si>
  <si>
    <t>Other Services: Moving furniture into new CSO location</t>
  </si>
  <si>
    <t>PD for COO Business Books ($25/mo.)</t>
  </si>
  <si>
    <t>PD for COO Surveys and Assessments Leadership ($400/quarter)</t>
  </si>
  <si>
    <t>PD for COO Community Events ($100/month)</t>
  </si>
  <si>
    <t>PD for COO Harvard Business Review ($120/year)</t>
  </si>
  <si>
    <t>PD for COO EOS Bascamp ($495/month)</t>
  </si>
  <si>
    <t>PD ACT Conference February 2021 (Others on Executive Leadership) ($85/registrant)</t>
  </si>
  <si>
    <t>PD ACT Conference February 2021 (Wendi Hawk and John Hawk) ($85/registrant)</t>
  </si>
  <si>
    <t>Title IIA: CSAN Registration Fees: Board Members ($200/registrant)</t>
  </si>
  <si>
    <t>Title IIA: ACT WorkForcee Registration Fees (Other Administrator) ($400/registrant)</t>
  </si>
  <si>
    <t>Title IIA: ACT WorkForcee Registration Fees (Wendi Hawk) ($400/registrant)</t>
  </si>
  <si>
    <t>Title IIA: CSAN Registration Fees: Executive Administration ($200/registrant)</t>
  </si>
  <si>
    <t>Title IIA: CSAN Registration Fees: Principals and Office Managers ($200/registrant)</t>
  </si>
  <si>
    <t>Title IIA: CSAN Registration Fees: Teachers ($200/registrant)</t>
  </si>
  <si>
    <t>Nurse for review of records (Katelyn Carnahan) ($1.50/student)</t>
  </si>
  <si>
    <t>Nurse for training (Rebecca Jones) ($250/training)</t>
  </si>
  <si>
    <t>Guidance Counselor (Del Sagers) ($12000/quarter)</t>
  </si>
  <si>
    <t>Title IIA: Leadership coaching (Jim Hager) ($1000/month)</t>
  </si>
  <si>
    <t>Professional Services: Leadership coaching (Jim Hager) ($1000/month)</t>
  </si>
  <si>
    <t>Professional Services: Legal Services</t>
  </si>
  <si>
    <t>Technical Services: Academic Support (Natalie Hunsaker) ($15/hour)</t>
  </si>
  <si>
    <t>Technical Services: Academic Support (Jordan Nelson) ($30/hour)</t>
  </si>
  <si>
    <t>Professional Services: Teacher Mentoring (NV Education Consultants) ($60/hour)</t>
  </si>
  <si>
    <t>PD ACT Conference February 2021 ($85/registrant)</t>
  </si>
  <si>
    <t>PD for Data Coordinator ($250/registration)</t>
  </si>
  <si>
    <t>PD for ED and ADD Additional Registrations and Conferences ($500/registration)</t>
  </si>
  <si>
    <t>PD for CEO and COO Additional Registrations and Conferences ($500/registration)</t>
  </si>
  <si>
    <t>PD for School Counselor ($250/registration)</t>
  </si>
  <si>
    <t>PD Audible.com ($25/month)</t>
  </si>
  <si>
    <t>Marketing: Constant Constant ($125/month)</t>
  </si>
  <si>
    <t>Marketing: Success City Social Website Management ($2400/year)</t>
  </si>
  <si>
    <t>Marketing: Success City Online Newsletter Production ($150/month)</t>
  </si>
  <si>
    <t>Marketing: Success City Online Management ($1500/month)</t>
  </si>
  <si>
    <t>Technology Services: Integrita Monthly Monitoring ($100/month)</t>
  </si>
  <si>
    <t>Technology Services: Integrita IT Support ($100/hour)</t>
  </si>
  <si>
    <t>ACT Engage: Fall FY1920 = 474  |(10% inc. for FY2021) ($7/test)</t>
  </si>
  <si>
    <t>ACT WorkKeys: Workplace Spring Retest FY1920 = 250 |(10% inc. for FY2021) ($12/test)</t>
  </si>
  <si>
    <t>ACT WorkKeys: Math Spring Retest FY1920 = 250 |(10% inc. for FY2021) ($12/test)</t>
  </si>
  <si>
    <t>ACT WorkKeys: Literacy Spring Retest FY1920 = 250 |(10% inc. for FY2021) ($12/test)</t>
  </si>
  <si>
    <t>ACT WorkKeys: Literacy Fall FY1920 = 533 |(10% inc. for FY2021) ($12/test)</t>
  </si>
  <si>
    <t>ACT WorkKeys: Math Fall FY1920 = 534 |(10% inc. for FY2021) ($12/test)</t>
  </si>
  <si>
    <t>ACT WorkKeys: Workplace Fall FY1920 = 536 |(10% inc. for FY2021) ($12/test)</t>
  </si>
  <si>
    <t>ACT WorkKeys: Literacy Spring FY1920 = 74 |(10% inc. for FY2021) ($12/test)</t>
  </si>
  <si>
    <t>ACT WorkKeys: Math Spring FY1920 = 74 |(10% inc. for FY2021) ($12/test)</t>
  </si>
  <si>
    <t>ACT WorkKeys: Workplace Spring FY1920 = 74 |(10% inc. for FY2021) ($12/test)</t>
  </si>
  <si>
    <t xml:space="preserve">Dues: SNHD Health Permit ($120/year) </t>
  </si>
  <si>
    <t>Dues: Cognia Accreditation ($1200/school)</t>
  </si>
  <si>
    <t>Fees: Wells Fargo Client Service Charge</t>
  </si>
  <si>
    <t>Dues: Henderson Chamber of Commerce ($450/year)</t>
  </si>
  <si>
    <t>Dues: Charter School Association of Nevada ($2200/year)</t>
  </si>
  <si>
    <t>Dues: Latin Chamber of Commerce ($365/year)</t>
  </si>
  <si>
    <t>Dues: Reno and Sparks Chamber of Commerce ($400/year)</t>
  </si>
  <si>
    <t>Fees: Fingerprinting Express (FELV) new Ees ($60/background check)</t>
  </si>
  <si>
    <t xml:space="preserve">Fees: First Insurance Amortizing ($0.30/student) </t>
  </si>
  <si>
    <t>Fees: First Insurance Service Fee ($50/month)</t>
  </si>
  <si>
    <t>Fees: Money Orders ($5/money order)</t>
  </si>
  <si>
    <t>Service: Plumber Repair</t>
  </si>
  <si>
    <t>Service: Electrial Repair</t>
  </si>
  <si>
    <t>Cleaning: Quarterly Supplies (Ultimate Building Services) ($205/month)</t>
  </si>
  <si>
    <t>Cleaning: Monthly Services (Ultimate Building Services) ($400/month)</t>
  </si>
  <si>
    <t>Building: CAMS 2651 N Green Valley Pkwy ($1229/month)</t>
  </si>
  <si>
    <t>Building: Lease 2651 N Green Valley Pkwy ($3686/month)</t>
  </si>
  <si>
    <t>Renting facility: Storage Unit ($299/month)</t>
  </si>
  <si>
    <t>Renting facility: 6 Transitions Courses (TMCC) FY2021 ($750/session)</t>
  </si>
  <si>
    <t>Renting facility: TMCC 2-wk course FY2021 ($750/session)</t>
  </si>
  <si>
    <t>Renting facility: UNLV 2-wk course FY2021 ($2200/session)</t>
  </si>
  <si>
    <t>Renting facility: 6 Transitions Courses (Orleans) FY2021 ($2000/session)</t>
  </si>
  <si>
    <t>Renting facility: ACT state testing (Eastside Cannery) ($4000/session)</t>
  </si>
  <si>
    <t>Renting facility: Awards Night ($3000/night)</t>
  </si>
  <si>
    <t>INSURANCE: Crime (FY1920 $1.30/student) (10% inc. for FY2021)</t>
  </si>
  <si>
    <t>INSURANCE: Liability &amp; Excess Liability ($21.97/student) (10% inc. for FY2021)</t>
  </si>
  <si>
    <t>INSURANCE: Fidelity and Excess Fidelity ($10.36/student) (10% inc. for FY2021)</t>
  </si>
  <si>
    <t>INSURANCE: Crime (added to agree with FY2021 quote)</t>
  </si>
  <si>
    <t>INSURANCE: Liability &amp; Excess Liability (added to agree with FY2021 quote)</t>
  </si>
  <si>
    <t>INSURANCE: Fidelity and Excess Fidelity (added to agree with FY2021 quote)</t>
  </si>
  <si>
    <t>POSTAGE: Stamps.com portal - monthly fee ($17/month)</t>
  </si>
  <si>
    <t>POSTAGE: USPS - Mail diplomas home @$7.95 for 450 12th and stamps for 550 11th at .55</t>
  </si>
  <si>
    <t>POSTAGE: USPS - Postage and stamps for mailing ($120/month)</t>
  </si>
  <si>
    <t>Enter additional connection here</t>
  </si>
  <si>
    <t>CELL PHONE: Verizon: Cell phone services for CEO/COO ($135/month)</t>
  </si>
  <si>
    <t>INTERNET: Cox Internet Services (CSO) ($310/month)</t>
  </si>
  <si>
    <t>VOIP: Stimulus (Downtown Las Vegas) ($77.25/month)</t>
  </si>
  <si>
    <t>VOIP: Stimulus (Southwest) ($115.88/month)</t>
  </si>
  <si>
    <t>VOIP: Stimulus (Sunrise) ($77.25/month)</t>
  </si>
  <si>
    <t>VOIP: Stimulus (Meadowwood) ($77.25/month)</t>
  </si>
  <si>
    <t>VOIP: Stimulus (Downtown Henderson) ($77.25/month)</t>
  </si>
  <si>
    <t>VOIP: Stimulus (Northwest) ($77.25/month)</t>
  </si>
  <si>
    <t>INTERNET: Stimulus (Henderson) ($334.95/month)</t>
  </si>
  <si>
    <t>INTERNET: Stimulus (Summerlin) ($313.95/month)</t>
  </si>
  <si>
    <t>INTERNET: Stimulus (Downtown Las Vegas) ($313.95/month)</t>
  </si>
  <si>
    <t>INTERNET: Stimulus (Southwest) ($313.95/month)</t>
  </si>
  <si>
    <t>INTERNET: Stimulus (Sunrise) ($313.95/month)</t>
  </si>
  <si>
    <t>INTERNET: Stimulus (Meadowwood) ($890/month)</t>
  </si>
  <si>
    <t>INTERNET: Stimulus (Downtown Henderson) ($313.95/month)</t>
  </si>
  <si>
    <t>VOIP: Stimulus (CSO) ($386.25/month)</t>
  </si>
  <si>
    <t>VOIP: Stimulus (Henderson) ($218.00/month)</t>
  </si>
  <si>
    <t>VOIP: Stimulus (Summerlin) ($203.30/month)</t>
  </si>
  <si>
    <t>Advertising: SNJGA Jr. Golf Sponsorship ($400/tournament)</t>
  </si>
  <si>
    <t>Advertising: Sponsorships CSAN ($500/conference)</t>
  </si>
  <si>
    <t>Advertising: Rapid Color Mailers (Las Vegas $7800 + Reno $3300)  ($11,100/mailer)</t>
  </si>
  <si>
    <t>Advertising: Student List (USA Data) ($1200/list)</t>
  </si>
  <si>
    <t>Advertising: Digtial Campaign SEO Retargeting from Facebook/Instagram ($250/unit)</t>
  </si>
  <si>
    <t>Advertising: Digtial Campaign SEO Marketing Ad Spend ($500/unit)</t>
  </si>
  <si>
    <t>HR: SchoolSpring ($200/month)</t>
  </si>
  <si>
    <t>HR: iHire ($299/month)</t>
  </si>
  <si>
    <t>HR: Governmentjobs.com ($900/year)</t>
  </si>
  <si>
    <t>HR: Booths at job fairs ($300/event)</t>
  </si>
  <si>
    <t>Enter other advertising here</t>
  </si>
  <si>
    <t>HR: LinkedIn.com ($750/every other month)</t>
  </si>
  <si>
    <t>PRINTING: Personnel 3-ring binders and tabs $20/binder</t>
  </si>
  <si>
    <t>PRINTING: COO Staples Printing for 2wk Course</t>
  </si>
  <si>
    <t>TRAVEL: Governing Body hotel, car rental, and per diem ($400/trip)</t>
  </si>
  <si>
    <t>TRAVEL: CEO hotel, car rental, and per diem ($400/trip)</t>
  </si>
  <si>
    <t>TRAVEL: COO hotel, car rental, and per diem ($400/trip)</t>
  </si>
  <si>
    <t>TRAVEL: ED hotel, car rental, and per diem ($400/trip)</t>
  </si>
  <si>
    <t>TRAVEL: AAD hotel, car rental, and per diem ($400/trip)</t>
  </si>
  <si>
    <t>TRAVEL: Data Coordinator hotel, car rental, and per diem ($400/trip)</t>
  </si>
  <si>
    <t>TRAVEL: Counselor hotel, car rental, and per diem ($400/trip)</t>
  </si>
  <si>
    <t>TRAVEL: FOD hotel, car rental, and per diem ($400/trip)</t>
  </si>
  <si>
    <t>TRAVEL: Operations Manager hotel, car rental, and per diem ($400/trip)</t>
  </si>
  <si>
    <t>TRAVEL: Business Manager hotel, car rental, and per diem ($400/trip)</t>
  </si>
  <si>
    <t>TRAVEL: HR Manager hotel, car rental, and per diem ($400/trip)</t>
  </si>
  <si>
    <t>TRAVEL: MED Manager hotel, car rental, and per diem ($400/trip)</t>
  </si>
  <si>
    <t>Supplies for Governing Body ($140/plaque)</t>
  </si>
  <si>
    <t>Supplies for Executive CEO and COO ($300/month)</t>
  </si>
  <si>
    <t>Supplies for AAD Department ($300/month)</t>
  </si>
  <si>
    <t>Supplies for FOD Department ($100/month)</t>
  </si>
  <si>
    <t>Supplies for MED Department ($100/month)</t>
  </si>
  <si>
    <t>Supplies for CSO Canon machine print fees ($100/month)</t>
  </si>
  <si>
    <t>Copiers, printers, switches, monitors, etc. ($1500/device)</t>
  </si>
  <si>
    <t>SaaS: Squidix server for website and MOODLE ($245/mo)</t>
  </si>
  <si>
    <t>SaaS: Hootsuite ($120/yr)</t>
  </si>
  <si>
    <t>SaaS: Survey Monkey ($384/yr)</t>
  </si>
  <si>
    <t>SaaS: Acuity Scheduling System ($374/yr)</t>
  </si>
  <si>
    <t>SaaS: Remind Student System ($3080/yr)</t>
  </si>
  <si>
    <t>SaaS: Screencast-O-Matic ($210/yr)</t>
  </si>
  <si>
    <t>SaaS: Zapier ($240/yr)</t>
  </si>
  <si>
    <t>SaaS: Actitime and Actiplans Portal($2304/yr)</t>
  </si>
  <si>
    <t>SaaS: Basecamp ($500/yr)</t>
  </si>
  <si>
    <t>SaaS: iVolunteer ($80/yr)</t>
  </si>
  <si>
    <t>SaaS: NEOGOV ($2484/yr)</t>
  </si>
  <si>
    <t>SaaS: Dropbox ($120/yr)</t>
  </si>
  <si>
    <t>SaaS: ACT Curriculum ($1500/yr)</t>
  </si>
  <si>
    <t>SaaS: Schoolmint Portal ($11,500/yr)</t>
  </si>
  <si>
    <t>SaaS: E-Sign Genie ($240/yr)</t>
  </si>
  <si>
    <t>SaaS: Zoom portal ($2400/yr)</t>
  </si>
  <si>
    <t>SaaS: Trackvia Portal ($10,500/yr)</t>
  </si>
  <si>
    <t>SaaS: Infinite Campus ($1000/yr)</t>
  </si>
  <si>
    <t>Software: Adobe Subscription ($2500/yr)</t>
  </si>
  <si>
    <t>Software: MS Office Renewal ($1200/yr)</t>
  </si>
  <si>
    <t>SaaS: Mojo Helpdesk Ticket System ($100/mo)</t>
  </si>
  <si>
    <t>Equipment: Sonic Wall Upgrade ($1200/yr)</t>
  </si>
  <si>
    <t>Equipment: Comprehensive Security Switch ($1125/yr)</t>
  </si>
  <si>
    <t>Academics Intern</t>
  </si>
  <si>
    <t>Other Services: ECTS Consulting Fees for E-RATE (15% of internet connection) ($1750/yr)</t>
  </si>
  <si>
    <t>Accounting: Harris Aptafund Opening and Closing FY</t>
  </si>
  <si>
    <t>Supplies Envelopes.com ($0.15/envelope)</t>
  </si>
  <si>
    <t>Supplies for CSO Las Vegas Uniforms ($50/new employee)</t>
  </si>
  <si>
    <t>Supplies for FOD Department Checks and Technology  ($100/month)</t>
  </si>
  <si>
    <t xml:space="preserve">Dues: EMRB EE Management Relations Board ($90/year) </t>
  </si>
  <si>
    <t>Technical Services: Cultural Fit Payments for EE's not hired</t>
  </si>
  <si>
    <t>PD for COO Magazine Education Week ($129/year)</t>
  </si>
  <si>
    <t>Fees: Substitue Teaching License ($200/person)</t>
  </si>
  <si>
    <t>Supplies for Executive Director ($50/month)</t>
  </si>
  <si>
    <t>HR: Headhunter (Ray &amp; Associates)  ($8,000/search) 50% in FY1920</t>
  </si>
  <si>
    <t>TRAVEL: CTE Coordinator hotel, car rental, and per diem ($400/trip)</t>
  </si>
  <si>
    <t>TRAVEL: SPC hotel, car rental, and per diem ($400/trip)</t>
  </si>
  <si>
    <t>PD for CTE Coordinator ($250/registration)</t>
  </si>
  <si>
    <t>PD for SPC ($250/registration)</t>
  </si>
  <si>
    <t>PD for FOD ($500/registration)</t>
  </si>
  <si>
    <t>PD for Ops Manager ($250/registration)</t>
  </si>
  <si>
    <t>PD for Bus Manager ($250/registration)</t>
  </si>
  <si>
    <t>PD for HR Manager ($250/registration)</t>
  </si>
  <si>
    <t>PD for MED ($500/registration)</t>
  </si>
  <si>
    <t>Advertising: Booths at Events and Grassroots ($300/event)</t>
  </si>
  <si>
    <t>Advertising: Success City Social Media Ad Spend ($500/month)</t>
  </si>
  <si>
    <t>Marketing: Graphic Artist and Design ($200/Design)</t>
  </si>
  <si>
    <t>Advertising: Collateral and SWAG ($600/semester)</t>
  </si>
  <si>
    <t>Dues: Nevada Association of School Administrators ($240/member)</t>
  </si>
  <si>
    <t>TBD</t>
  </si>
  <si>
    <t>Value</t>
  </si>
  <si>
    <t>00-05</t>
  </si>
  <si>
    <t>0000-639</t>
  </si>
  <si>
    <t>32-05</t>
  </si>
  <si>
    <t>NSHS at Meadowwood</t>
  </si>
  <si>
    <t>NSHS at Sunrise</t>
  </si>
  <si>
    <t>NSHS at Henderson Downtown</t>
  </si>
  <si>
    <t>NSHS at Northwest</t>
  </si>
  <si>
    <t>NSHS at Expansion 2021-22</t>
  </si>
  <si>
    <t>Original</t>
  </si>
  <si>
    <t>Loans to locations</t>
  </si>
  <si>
    <t>Loan payback schedule from locations</t>
  </si>
  <si>
    <t>NSHS at Sunrise (separate charter/checking)</t>
  </si>
  <si>
    <t>NSHS at Meadowwood (separate charter/checking)</t>
  </si>
  <si>
    <t>New loan amounts and paybacks for EOY</t>
  </si>
  <si>
    <t>Totals to show on EOY fund balance MYP</t>
  </si>
  <si>
    <t>Loans &amp; paybacks, Adjust EOY Fund Bal.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</si>
</sst>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&quot;$&quot;* #,##0_);_(&quot;$&quot;* \(#,##0\);_(&quot;$&quot;* &quot;-&quot;??_);_(@_)"/>
    <numFmt numFmtId="166" formatCode="0.0%"/>
    <numFmt numFmtId="167" formatCode="_(* #,##0_);_(* \(#,##0\);_(* &quot;-&quot;??_);_(@_)"/>
    <numFmt numFmtId="168" formatCode="_(* #,##0.0_);_(* \(#,##0.0\);_(* &quot;-&quot;_);_(@_)"/>
    <numFmt numFmtId="169" formatCode="_(* #,##0.00_);_(* \(#,##0.00\);_(* &quot;-&quot;_);_(@_)"/>
  </numFmts>
  <fonts count="8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i/>
      <sz val="10"/>
      <name val="Calibri"/>
      <family val="2"/>
      <scheme val="minor"/>
    </font>
    <font>
      <sz val="9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b/>
      <sz val="9"/>
      <color theme="0"/>
      <name val="Calibri"/>
      <family val="2"/>
      <scheme val="minor"/>
    </font>
    <font>
      <u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4" tint="-0.249977111117893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u/>
      <sz val="8"/>
      <color rgb="FFFF0000"/>
      <name val="Calibri"/>
      <family val="2"/>
      <scheme val="minor"/>
    </font>
    <font>
      <i/>
      <sz val="9"/>
      <name val="Calibri"/>
      <family val="2"/>
      <scheme val="minor"/>
    </font>
    <font>
      <b/>
      <u/>
      <sz val="16"/>
      <name val="Calibri"/>
      <family val="2"/>
      <scheme val="minor"/>
    </font>
    <font>
      <b/>
      <u/>
      <sz val="11"/>
      <name val="Calibri"/>
      <family val="2"/>
      <scheme val="minor"/>
    </font>
    <font>
      <i/>
      <u/>
      <sz val="10"/>
      <name val="Calibri"/>
      <family val="2"/>
      <scheme val="minor"/>
    </font>
    <font>
      <b/>
      <u/>
      <sz val="9"/>
      <name val="Calibri"/>
      <family val="2"/>
      <scheme val="minor"/>
    </font>
    <font>
      <u/>
      <sz val="11"/>
      <name val="Calibri"/>
      <family val="2"/>
      <scheme val="minor"/>
    </font>
    <font>
      <sz val="8"/>
      <color theme="1"/>
      <name val="Tahoma"/>
      <family val="2"/>
    </font>
    <font>
      <sz val="10"/>
      <name val="Calibri"/>
      <family val="2"/>
      <scheme val="minor"/>
    </font>
    <font>
      <u val="singleAccounting"/>
      <sz val="10"/>
      <name val="Calibri"/>
      <family val="2"/>
      <scheme val="minor"/>
    </font>
    <font>
      <b/>
      <i/>
      <sz val="10"/>
      <color theme="8" tint="-0.499984740745262"/>
      <name val="Calibri"/>
      <family val="2"/>
      <scheme val="minor"/>
    </font>
    <font>
      <i/>
      <sz val="10"/>
      <color theme="8" tint="-0.499984740745262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u val="singleAccounting"/>
      <sz val="10"/>
      <name val="Calibri"/>
      <family val="2"/>
      <scheme val="minor"/>
    </font>
    <font>
      <u/>
      <sz val="10"/>
      <name val="Calibri"/>
      <family val="2"/>
      <scheme val="minor"/>
    </font>
    <font>
      <u val="doubleAccounting"/>
      <sz val="10"/>
      <name val="Calibri"/>
      <family val="2"/>
      <scheme val="minor"/>
    </font>
    <font>
      <b/>
      <u val="double"/>
      <sz val="10"/>
      <name val="Calibri"/>
      <family val="2"/>
      <scheme val="minor"/>
    </font>
    <font>
      <b/>
      <u val="doubleAccounting"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0"/>
      <name val="Calibri"/>
      <family val="2"/>
      <scheme val="minor"/>
    </font>
    <font>
      <i/>
      <sz val="9"/>
      <color theme="4" tint="-0.249977111117893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i/>
      <sz val="9"/>
      <color theme="0" tint="-0.34998626667073579"/>
      <name val="Calibri"/>
      <family val="2"/>
      <scheme val="minor"/>
    </font>
    <font>
      <i/>
      <sz val="9"/>
      <color theme="0" tint="-0.34998626667073579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b/>
      <u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u/>
      <sz val="8"/>
      <color theme="0" tint="-0.249977111117893"/>
      <name val="Arial"/>
      <family val="2"/>
    </font>
    <font>
      <i/>
      <sz val="8"/>
      <color theme="0" tint="-0.249977111117893"/>
      <name val="Arial"/>
      <family val="2"/>
    </font>
    <font>
      <sz val="9"/>
      <color theme="0" tint="-0.34998626667073579"/>
      <name val="Calibri"/>
      <family val="2"/>
      <scheme val="minor"/>
    </font>
    <font>
      <b/>
      <sz val="9"/>
      <color theme="0" tint="-0.34998626667073579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indexed="81"/>
      <name val="Tahoma"/>
      <family val="2"/>
    </font>
  </fonts>
  <fills count="5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C7C9C8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0">
    <xf numFmtId="0" fontId="0" fillId="0" borderId="0"/>
    <xf numFmtId="0" fontId="2" fillId="0" borderId="0"/>
    <xf numFmtId="0" fontId="3" fillId="2" borderId="1">
      <alignment horizontal="left"/>
    </xf>
    <xf numFmtId="0" fontId="3" fillId="2" borderId="2">
      <alignment horizontal="left"/>
    </xf>
    <xf numFmtId="0" fontId="3" fillId="2" borderId="3">
      <alignment horizontal="left"/>
    </xf>
    <xf numFmtId="44" fontId="3" fillId="0" borderId="0" applyFont="0" applyFill="0" applyBorder="0" applyAlignment="0" applyProtection="0"/>
    <xf numFmtId="14" fontId="3" fillId="0" borderId="0" applyFont="0" applyFill="0" applyBorder="0" applyProtection="0">
      <alignment horizontal="left"/>
    </xf>
    <xf numFmtId="0" fontId="4" fillId="0" borderId="1">
      <alignment horizontal="left"/>
    </xf>
    <xf numFmtId="2" fontId="3" fillId="0" borderId="0" applyFill="0" applyProtection="0"/>
    <xf numFmtId="0" fontId="4" fillId="2" borderId="4">
      <alignment horizontal="left"/>
    </xf>
    <xf numFmtId="0" fontId="4" fillId="2" borderId="5">
      <alignment horizontal="left"/>
    </xf>
    <xf numFmtId="0" fontId="3" fillId="0" borderId="0" applyFont="0" applyFill="0" applyBorder="0" applyAlignment="0" applyProtection="0"/>
    <xf numFmtId="49" fontId="3" fillId="0" borderId="6" applyFont="0" applyFill="0" applyBorder="0" applyAlignment="0" applyProtection="0">
      <alignment horizontal="right"/>
    </xf>
    <xf numFmtId="0" fontId="3" fillId="0" borderId="0">
      <alignment horizontal="left"/>
    </xf>
    <xf numFmtId="0" fontId="4" fillId="2" borderId="7">
      <alignment horizontal="left"/>
    </xf>
    <xf numFmtId="0" fontId="3" fillId="0" borderId="1">
      <alignment horizontal="left"/>
    </xf>
    <xf numFmtId="0" fontId="4" fillId="2" borderId="8">
      <alignment horizontal="left"/>
    </xf>
    <xf numFmtId="0" fontId="4" fillId="2" borderId="9">
      <alignment horizontal="left"/>
    </xf>
    <xf numFmtId="0" fontId="4" fillId="2" borderId="10">
      <alignment horizontal="left"/>
    </xf>
    <xf numFmtId="0" fontId="3" fillId="0" borderId="6">
      <alignment horizontal="right"/>
    </xf>
    <xf numFmtId="0" fontId="5" fillId="0" borderId="0"/>
    <xf numFmtId="0" fontId="3" fillId="2" borderId="2">
      <alignment horizontal="left"/>
    </xf>
    <xf numFmtId="0" fontId="3" fillId="2" borderId="3">
      <alignment horizontal="left"/>
    </xf>
    <xf numFmtId="0" fontId="3" fillId="2" borderId="2">
      <alignment horizontal="left"/>
    </xf>
    <xf numFmtId="0" fontId="3" fillId="2" borderId="3">
      <alignment horizontal="left"/>
    </xf>
    <xf numFmtId="0" fontId="3" fillId="0" borderId="0"/>
    <xf numFmtId="2" fontId="3" fillId="0" borderId="0" applyFill="0" applyBorder="0" applyProtection="0"/>
    <xf numFmtId="49" fontId="3" fillId="0" borderId="6" applyFont="0" applyFill="0" applyBorder="0" applyAlignment="0" applyProtection="0">
      <alignment horizontal="right"/>
    </xf>
    <xf numFmtId="0" fontId="3" fillId="2" borderId="2">
      <alignment horizontal="left"/>
    </xf>
    <xf numFmtId="0" fontId="3" fillId="2" borderId="3">
      <alignment horizontal="left"/>
    </xf>
    <xf numFmtId="0" fontId="3" fillId="2" borderId="2">
      <alignment horizontal="left"/>
    </xf>
    <xf numFmtId="0" fontId="3" fillId="2" borderId="3">
      <alignment horizontal="left"/>
    </xf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4" fillId="0" borderId="17" applyNumberFormat="0" applyFill="0" applyAlignment="0" applyProtection="0"/>
    <xf numFmtId="0" fontId="15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7" borderId="20" applyNumberFormat="0" applyAlignment="0" applyProtection="0"/>
    <xf numFmtId="0" fontId="20" fillId="8" borderId="21" applyNumberFormat="0" applyAlignment="0" applyProtection="0"/>
    <xf numFmtId="0" fontId="21" fillId="8" borderId="20" applyNumberFormat="0" applyAlignment="0" applyProtection="0"/>
    <xf numFmtId="0" fontId="22" fillId="0" borderId="22" applyNumberFormat="0" applyFill="0" applyAlignment="0" applyProtection="0"/>
    <xf numFmtId="0" fontId="23" fillId="9" borderId="23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25" applyNumberFormat="0" applyFill="0" applyAlignment="0" applyProtection="0"/>
    <xf numFmtId="0" fontId="2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2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26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26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26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43" fontId="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26" fillId="14" borderId="0" applyNumberFormat="0" applyBorder="0" applyAlignment="0" applyProtection="0"/>
    <xf numFmtId="0" fontId="26" fillId="18" borderId="0" applyNumberFormat="0" applyBorder="0" applyAlignment="0" applyProtection="0"/>
    <xf numFmtId="0" fontId="26" fillId="22" borderId="0" applyNumberFormat="0" applyBorder="0" applyAlignment="0" applyProtection="0"/>
    <xf numFmtId="0" fontId="26" fillId="26" borderId="0" applyNumberFormat="0" applyBorder="0" applyAlignment="0" applyProtection="0"/>
    <xf numFmtId="0" fontId="26" fillId="30" borderId="0" applyNumberFormat="0" applyBorder="0" applyAlignment="0" applyProtection="0"/>
    <xf numFmtId="0" fontId="26" fillId="34" borderId="0" applyNumberFormat="0" applyBorder="0" applyAlignment="0" applyProtection="0"/>
    <xf numFmtId="0" fontId="7" fillId="0" borderId="0"/>
    <xf numFmtId="0" fontId="7" fillId="10" borderId="24" applyNumberFormat="0" applyFont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24" applyNumberFormat="0" applyFont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24" applyNumberFormat="0" applyFont="0" applyAlignment="0" applyProtection="0"/>
    <xf numFmtId="0" fontId="7" fillId="0" borderId="0"/>
    <xf numFmtId="0" fontId="46" fillId="0" borderId="0"/>
    <xf numFmtId="43" fontId="7" fillId="0" borderId="0" applyFont="0" applyFill="0" applyBorder="0" applyAlignment="0" applyProtection="0"/>
  </cellStyleXfs>
  <cellXfs count="733">
    <xf numFmtId="0" fontId="0" fillId="0" borderId="0" xfId="0"/>
    <xf numFmtId="0" fontId="8" fillId="3" borderId="0" xfId="20" applyFont="1" applyFill="1"/>
    <xf numFmtId="41" fontId="8" fillId="3" borderId="0" xfId="20" applyNumberFormat="1" applyFont="1" applyFill="1"/>
    <xf numFmtId="41" fontId="8" fillId="3" borderId="0" xfId="20" applyNumberFormat="1" applyFont="1" applyFill="1" applyAlignment="1">
      <alignment wrapText="1"/>
    </xf>
    <xf numFmtId="41" fontId="8" fillId="3" borderId="0" xfId="20" applyNumberFormat="1" applyFont="1" applyFill="1" applyAlignment="1">
      <alignment horizontal="right"/>
    </xf>
    <xf numFmtId="0" fontId="9" fillId="3" borderId="0" xfId="20" applyFont="1" applyFill="1"/>
    <xf numFmtId="0" fontId="10" fillId="3" borderId="0" xfId="20" applyFont="1" applyFill="1"/>
    <xf numFmtId="41" fontId="8" fillId="3" borderId="0" xfId="20" applyNumberFormat="1" applyFont="1" applyFill="1" applyAlignment="1">
      <alignment horizontal="center"/>
    </xf>
    <xf numFmtId="41" fontId="10" fillId="3" borderId="0" xfId="20" applyNumberFormat="1" applyFont="1" applyFill="1"/>
    <xf numFmtId="0" fontId="10" fillId="3" borderId="0" xfId="20" applyFont="1" applyFill="1" applyAlignment="1">
      <alignment vertical="center" wrapText="1"/>
    </xf>
    <xf numFmtId="0" fontId="8" fillId="3" borderId="0" xfId="20" applyFont="1" applyFill="1" applyAlignment="1">
      <alignment horizontal="right" vertical="top"/>
    </xf>
    <xf numFmtId="0" fontId="11" fillId="3" borderId="0" xfId="20" applyFont="1" applyFill="1"/>
    <xf numFmtId="0" fontId="6" fillId="3" borderId="0" xfId="20" applyFont="1" applyFill="1" applyAlignment="1">
      <alignment horizontal="left"/>
    </xf>
    <xf numFmtId="0" fontId="8" fillId="3" borderId="0" xfId="20" applyFont="1" applyFill="1" applyAlignment="1">
      <alignment horizontal="left"/>
    </xf>
    <xf numFmtId="0" fontId="12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0" fontId="8" fillId="3" borderId="0" xfId="20" applyFont="1" applyFill="1" applyAlignment="1">
      <alignment horizontal="center"/>
    </xf>
    <xf numFmtId="41" fontId="10" fillId="3" borderId="0" xfId="20" applyNumberFormat="1" applyFont="1" applyFill="1" applyAlignment="1">
      <alignment horizontal="center"/>
    </xf>
    <xf numFmtId="0" fontId="10" fillId="3" borderId="0" xfId="2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/>
    </xf>
    <xf numFmtId="0" fontId="6" fillId="3" borderId="0" xfId="0" applyFont="1" applyFill="1"/>
    <xf numFmtId="41" fontId="12" fillId="3" borderId="0" xfId="0" applyNumberFormat="1" applyFont="1" applyFill="1"/>
    <xf numFmtId="41" fontId="6" fillId="3" borderId="0" xfId="0" applyNumberFormat="1" applyFont="1" applyFill="1"/>
    <xf numFmtId="41" fontId="8" fillId="3" borderId="0" xfId="20" applyNumberFormat="1" applyFont="1" applyFill="1" applyBorder="1" applyAlignment="1">
      <alignment wrapText="1"/>
    </xf>
    <xf numFmtId="41" fontId="8" fillId="3" borderId="0" xfId="20" applyNumberFormat="1" applyFont="1" applyFill="1" applyBorder="1"/>
    <xf numFmtId="41" fontId="8" fillId="3" borderId="0" xfId="20" applyNumberFormat="1" applyFont="1" applyFill="1" applyBorder="1" applyAlignment="1">
      <alignment horizontal="center" vertical="center" wrapText="1"/>
    </xf>
    <xf numFmtId="41" fontId="12" fillId="3" borderId="0" xfId="0" applyNumberFormat="1" applyFont="1" applyFill="1" applyBorder="1"/>
    <xf numFmtId="0" fontId="12" fillId="3" borderId="0" xfId="0" applyFont="1" applyFill="1" applyBorder="1"/>
    <xf numFmtId="0" fontId="8" fillId="3" borderId="0" xfId="20" applyFont="1" applyFill="1" applyBorder="1"/>
    <xf numFmtId="41" fontId="10" fillId="3" borderId="0" xfId="20" applyNumberFormat="1" applyFont="1" applyFill="1" applyBorder="1"/>
    <xf numFmtId="0" fontId="10" fillId="3" borderId="0" xfId="20" applyFont="1" applyFill="1" applyBorder="1"/>
    <xf numFmtId="0" fontId="10" fillId="3" borderId="0" xfId="20" applyFont="1" applyFill="1" applyBorder="1" applyAlignment="1">
      <alignment vertical="center" wrapText="1"/>
    </xf>
    <xf numFmtId="164" fontId="30" fillId="36" borderId="11" xfId="20" applyNumberFormat="1" applyFont="1" applyFill="1" applyBorder="1" applyAlignment="1">
      <alignment horizontal="center" vertical="center" wrapText="1"/>
    </xf>
    <xf numFmtId="41" fontId="10" fillId="3" borderId="0" xfId="20" applyNumberFormat="1" applyFont="1" applyFill="1" applyAlignment="1">
      <alignment wrapText="1"/>
    </xf>
    <xf numFmtId="41" fontId="8" fillId="37" borderId="11" xfId="20" applyNumberFormat="1" applyFont="1" applyFill="1" applyBorder="1" applyAlignment="1">
      <alignment horizontal="center" vertical="center" wrapText="1"/>
    </xf>
    <xf numFmtId="41" fontId="10" fillId="38" borderId="0" xfId="20" applyNumberFormat="1" applyFont="1" applyFill="1" applyBorder="1" applyAlignment="1">
      <alignment horizontal="center" vertical="center" wrapText="1"/>
    </xf>
    <xf numFmtId="0" fontId="10" fillId="3" borderId="0" xfId="0" applyFont="1" applyFill="1"/>
    <xf numFmtId="0" fontId="10" fillId="3" borderId="0" xfId="0" applyFont="1" applyFill="1" applyAlignment="1">
      <alignment horizontal="center"/>
    </xf>
    <xf numFmtId="41" fontId="10" fillId="3" borderId="0" xfId="0" applyNumberFormat="1" applyFont="1" applyFill="1"/>
    <xf numFmtId="41" fontId="8" fillId="3" borderId="0" xfId="0" applyNumberFormat="1" applyFont="1" applyFill="1"/>
    <xf numFmtId="41" fontId="10" fillId="3" borderId="0" xfId="0" applyNumberFormat="1" applyFont="1" applyFill="1" applyBorder="1"/>
    <xf numFmtId="41" fontId="10" fillId="3" borderId="1" xfId="0" applyNumberFormat="1" applyFont="1" applyFill="1" applyBorder="1"/>
    <xf numFmtId="41" fontId="8" fillId="3" borderId="1" xfId="0" applyNumberFormat="1" applyFont="1" applyFill="1" applyBorder="1"/>
    <xf numFmtId="41" fontId="10" fillId="38" borderId="0" xfId="0" applyNumberFormat="1" applyFont="1" applyFill="1"/>
    <xf numFmtId="0" fontId="8" fillId="3" borderId="0" xfId="0" applyFont="1" applyFill="1"/>
    <xf numFmtId="0" fontId="8" fillId="3" borderId="0" xfId="0" applyFont="1" applyFill="1" applyAlignment="1">
      <alignment horizontal="center"/>
    </xf>
    <xf numFmtId="41" fontId="10" fillId="38" borderId="1" xfId="0" applyNumberFormat="1" applyFont="1" applyFill="1" applyBorder="1"/>
    <xf numFmtId="41" fontId="8" fillId="3" borderId="0" xfId="0" applyNumberFormat="1" applyFont="1" applyFill="1" applyBorder="1"/>
    <xf numFmtId="0" fontId="31" fillId="3" borderId="0" xfId="0" applyFont="1" applyFill="1" applyAlignment="1">
      <alignment horizontal="left"/>
    </xf>
    <xf numFmtId="41" fontId="10" fillId="3" borderId="5" xfId="0" applyNumberFormat="1" applyFont="1" applyFill="1" applyBorder="1"/>
    <xf numFmtId="41" fontId="10" fillId="38" borderId="5" xfId="0" applyNumberFormat="1" applyFont="1" applyFill="1" applyBorder="1"/>
    <xf numFmtId="41" fontId="10" fillId="38" borderId="0" xfId="0" applyNumberFormat="1" applyFont="1" applyFill="1" applyBorder="1"/>
    <xf numFmtId="0" fontId="8" fillId="3" borderId="0" xfId="20" applyFont="1" applyFill="1" applyAlignment="1">
      <alignment vertical="center"/>
    </xf>
    <xf numFmtId="0" fontId="10" fillId="3" borderId="0" xfId="20" applyFont="1" applyFill="1" applyAlignment="1">
      <alignment vertical="center"/>
    </xf>
    <xf numFmtId="0" fontId="32" fillId="3" borderId="0" xfId="20" applyFont="1" applyFill="1" applyAlignment="1">
      <alignment horizontal="left" vertical="center"/>
    </xf>
    <xf numFmtId="164" fontId="30" fillId="36" borderId="4" xfId="20" applyNumberFormat="1" applyFont="1" applyFill="1" applyBorder="1" applyAlignment="1">
      <alignment horizontal="center" vertical="center" wrapText="1"/>
    </xf>
    <xf numFmtId="41" fontId="10" fillId="3" borderId="26" xfId="0" applyNumberFormat="1" applyFont="1" applyFill="1" applyBorder="1"/>
    <xf numFmtId="41" fontId="8" fillId="39" borderId="11" xfId="20" applyNumberFormat="1" applyFont="1" applyFill="1" applyBorder="1" applyAlignment="1">
      <alignment horizontal="center" vertical="center" wrapText="1"/>
    </xf>
    <xf numFmtId="41" fontId="8" fillId="39" borderId="0" xfId="0" applyNumberFormat="1" applyFont="1" applyFill="1"/>
    <xf numFmtId="41" fontId="8" fillId="39" borderId="1" xfId="0" applyNumberFormat="1" applyFont="1" applyFill="1" applyBorder="1"/>
    <xf numFmtId="41" fontId="8" fillId="39" borderId="5" xfId="0" applyNumberFormat="1" applyFont="1" applyFill="1" applyBorder="1"/>
    <xf numFmtId="41" fontId="8" fillId="39" borderId="0" xfId="0" applyNumberFormat="1" applyFont="1" applyFill="1" applyBorder="1"/>
    <xf numFmtId="0" fontId="33" fillId="3" borderId="0" xfId="0" applyFont="1" applyFill="1"/>
    <xf numFmtId="0" fontId="33" fillId="3" borderId="0" xfId="0" applyFont="1" applyFill="1" applyAlignment="1">
      <alignment horizontal="center"/>
    </xf>
    <xf numFmtId="0" fontId="34" fillId="35" borderId="11" xfId="0" applyFont="1" applyFill="1" applyBorder="1" applyAlignment="1">
      <alignment horizontal="center" vertical="center"/>
    </xf>
    <xf numFmtId="0" fontId="37" fillId="3" borderId="0" xfId="0" applyFont="1" applyFill="1" applyAlignment="1">
      <alignment horizontal="left"/>
    </xf>
    <xf numFmtId="41" fontId="10" fillId="35" borderId="0" xfId="0" applyNumberFormat="1" applyFont="1" applyFill="1"/>
    <xf numFmtId="41" fontId="10" fillId="35" borderId="0" xfId="20" applyNumberFormat="1" applyFont="1" applyFill="1" applyBorder="1" applyAlignment="1">
      <alignment horizontal="center" vertical="center" wrapText="1"/>
    </xf>
    <xf numFmtId="41" fontId="10" fillId="35" borderId="1" xfId="0" applyNumberFormat="1" applyFont="1" applyFill="1" applyBorder="1"/>
    <xf numFmtId="41" fontId="10" fillId="35" borderId="1" xfId="20" applyNumberFormat="1" applyFont="1" applyFill="1" applyBorder="1" applyAlignment="1">
      <alignment horizontal="center" vertical="center" wrapText="1"/>
    </xf>
    <xf numFmtId="41" fontId="8" fillId="35" borderId="1" xfId="0" applyNumberFormat="1" applyFont="1" applyFill="1" applyBorder="1"/>
    <xf numFmtId="41" fontId="8" fillId="35" borderId="0" xfId="0" applyNumberFormat="1" applyFont="1" applyFill="1"/>
    <xf numFmtId="41" fontId="10" fillId="35" borderId="5" xfId="0" applyNumberFormat="1" applyFont="1" applyFill="1" applyBorder="1"/>
    <xf numFmtId="41" fontId="8" fillId="35" borderId="0" xfId="0" applyNumberFormat="1" applyFont="1" applyFill="1" applyBorder="1"/>
    <xf numFmtId="41" fontId="10" fillId="35" borderId="0" xfId="0" applyNumberFormat="1" applyFont="1" applyFill="1" applyBorder="1"/>
    <xf numFmtId="0" fontId="38" fillId="3" borderId="0" xfId="0" applyFont="1" applyFill="1" applyAlignment="1">
      <alignment horizontal="right"/>
    </xf>
    <xf numFmtId="41" fontId="38" fillId="3" borderId="0" xfId="0" applyNumberFormat="1" applyFont="1" applyFill="1" applyAlignment="1">
      <alignment horizontal="right"/>
    </xf>
    <xf numFmtId="0" fontId="39" fillId="3" borderId="0" xfId="0" applyFont="1" applyFill="1" applyAlignment="1">
      <alignment horizontal="right"/>
    </xf>
    <xf numFmtId="0" fontId="10" fillId="3" borderId="0" xfId="20" applyFont="1" applyFill="1" applyAlignment="1">
      <alignment horizontal="center" vertical="center"/>
    </xf>
    <xf numFmtId="41" fontId="10" fillId="3" borderId="0" xfId="0" applyNumberFormat="1" applyFont="1" applyFill="1" applyAlignment="1"/>
    <xf numFmtId="0" fontId="41" fillId="3" borderId="0" xfId="20" applyFont="1" applyFill="1"/>
    <xf numFmtId="0" fontId="42" fillId="3" borderId="0" xfId="20" applyFont="1" applyFill="1" applyAlignment="1">
      <alignment horizontal="left"/>
    </xf>
    <xf numFmtId="0" fontId="43" fillId="3" borderId="0" xfId="20" applyFont="1" applyFill="1"/>
    <xf numFmtId="0" fontId="31" fillId="3" borderId="0" xfId="20" applyFont="1" applyFill="1" applyAlignment="1">
      <alignment vertical="center" wrapText="1"/>
    </xf>
    <xf numFmtId="0" fontId="31" fillId="3" borderId="0" xfId="20" applyFont="1" applyFill="1" applyAlignment="1">
      <alignment vertical="center"/>
    </xf>
    <xf numFmtId="0" fontId="31" fillId="3" borderId="0" xfId="0" applyFont="1" applyFill="1"/>
    <xf numFmtId="0" fontId="44" fillId="3" borderId="0" xfId="0" applyFont="1" applyFill="1"/>
    <xf numFmtId="0" fontId="45" fillId="3" borderId="0" xfId="0" applyFont="1" applyFill="1"/>
    <xf numFmtId="0" fontId="8" fillId="35" borderId="9" xfId="20" applyFont="1" applyFill="1" applyBorder="1" applyAlignment="1">
      <alignment horizontal="right" vertical="top"/>
    </xf>
    <xf numFmtId="41" fontId="10" fillId="35" borderId="8" xfId="0" applyNumberFormat="1" applyFont="1" applyFill="1" applyBorder="1" applyAlignment="1"/>
    <xf numFmtId="41" fontId="10" fillId="35" borderId="10" xfId="0" applyNumberFormat="1" applyFont="1" applyFill="1" applyBorder="1" applyAlignment="1"/>
    <xf numFmtId="0" fontId="8" fillId="3" borderId="27" xfId="20" applyFont="1" applyFill="1" applyBorder="1" applyAlignment="1">
      <alignment horizontal="right" vertical="top"/>
    </xf>
    <xf numFmtId="41" fontId="10" fillId="3" borderId="0" xfId="0" applyNumberFormat="1" applyFont="1" applyFill="1" applyBorder="1" applyAlignment="1"/>
    <xf numFmtId="41" fontId="10" fillId="3" borderId="28" xfId="0" applyNumberFormat="1" applyFont="1" applyFill="1" applyBorder="1" applyAlignment="1"/>
    <xf numFmtId="0" fontId="8" fillId="35" borderId="27" xfId="20" applyFont="1" applyFill="1" applyBorder="1" applyAlignment="1">
      <alignment horizontal="right" vertical="top"/>
    </xf>
    <xf numFmtId="0" fontId="40" fillId="35" borderId="0" xfId="20" applyFont="1" applyFill="1" applyBorder="1" applyAlignment="1">
      <alignment horizontal="right" vertical="center"/>
    </xf>
    <xf numFmtId="41" fontId="10" fillId="35" borderId="0" xfId="0" applyNumberFormat="1" applyFont="1" applyFill="1" applyBorder="1" applyAlignment="1"/>
    <xf numFmtId="41" fontId="10" fillId="41" borderId="0" xfId="20" applyNumberFormat="1" applyFont="1" applyFill="1" applyBorder="1" applyAlignment="1">
      <alignment horizontal="center" vertical="center" wrapText="1"/>
    </xf>
    <xf numFmtId="41" fontId="10" fillId="41" borderId="5" xfId="0" applyNumberFormat="1" applyFont="1" applyFill="1" applyBorder="1"/>
    <xf numFmtId="41" fontId="10" fillId="41" borderId="0" xfId="0" applyNumberFormat="1" applyFont="1" applyFill="1"/>
    <xf numFmtId="41" fontId="10" fillId="41" borderId="0" xfId="0" applyNumberFormat="1" applyFont="1" applyFill="1" applyBorder="1"/>
    <xf numFmtId="42" fontId="47" fillId="43" borderId="27" xfId="66" quotePrefix="1" applyNumberFormat="1" applyFont="1" applyFill="1" applyBorder="1"/>
    <xf numFmtId="42" fontId="47" fillId="43" borderId="28" xfId="66" quotePrefix="1" applyNumberFormat="1" applyFont="1" applyFill="1" applyBorder="1"/>
    <xf numFmtId="42" fontId="47" fillId="3" borderId="0" xfId="66" quotePrefix="1" applyNumberFormat="1" applyFont="1" applyFill="1"/>
    <xf numFmtId="41" fontId="47" fillId="43" borderId="27" xfId="66" quotePrefix="1" applyNumberFormat="1" applyFont="1" applyFill="1" applyBorder="1"/>
    <xf numFmtId="41" fontId="47" fillId="43" borderId="28" xfId="66" quotePrefix="1" applyNumberFormat="1" applyFont="1" applyFill="1" applyBorder="1"/>
    <xf numFmtId="41" fontId="47" fillId="3" borderId="0" xfId="66" quotePrefix="1" applyNumberFormat="1" applyFont="1" applyFill="1"/>
    <xf numFmtId="41" fontId="47" fillId="43" borderId="27" xfId="20" applyNumberFormat="1" applyFont="1" applyFill="1" applyBorder="1"/>
    <xf numFmtId="41" fontId="47" fillId="43" borderId="28" xfId="20" applyNumberFormat="1" applyFont="1" applyFill="1" applyBorder="1"/>
    <xf numFmtId="41" fontId="47" fillId="3" borderId="0" xfId="20" applyNumberFormat="1" applyFont="1" applyFill="1"/>
    <xf numFmtId="41" fontId="48" fillId="43" borderId="27" xfId="20" applyNumberFormat="1" applyFont="1" applyFill="1" applyBorder="1"/>
    <xf numFmtId="41" fontId="48" fillId="43" borderId="28" xfId="20" applyNumberFormat="1" applyFont="1" applyFill="1" applyBorder="1"/>
    <xf numFmtId="41" fontId="48" fillId="3" borderId="0" xfId="20" applyNumberFormat="1" applyFont="1" applyFill="1"/>
    <xf numFmtId="42" fontId="47" fillId="43" borderId="27" xfId="20" applyNumberFormat="1" applyFont="1" applyFill="1" applyBorder="1"/>
    <xf numFmtId="42" fontId="47" fillId="43" borderId="28" xfId="20" applyNumberFormat="1" applyFont="1" applyFill="1" applyBorder="1"/>
    <xf numFmtId="42" fontId="47" fillId="3" borderId="0" xfId="20" applyNumberFormat="1" applyFont="1" applyFill="1"/>
    <xf numFmtId="38" fontId="49" fillId="3" borderId="0" xfId="20" applyNumberFormat="1" applyFont="1" applyFill="1"/>
    <xf numFmtId="38" fontId="50" fillId="3" borderId="0" xfId="20" applyNumberFormat="1" applyFont="1" applyFill="1"/>
    <xf numFmtId="0" fontId="47" fillId="3" borderId="0" xfId="20" applyFont="1" applyFill="1"/>
    <xf numFmtId="0" fontId="51" fillId="3" borderId="0" xfId="20" applyFont="1" applyFill="1"/>
    <xf numFmtId="0" fontId="51" fillId="3" borderId="0" xfId="20" applyFont="1" applyFill="1" applyAlignment="1">
      <alignment horizontal="left"/>
    </xf>
    <xf numFmtId="0" fontId="47" fillId="3" borderId="0" xfId="20" applyFont="1" applyFill="1" applyAlignment="1">
      <alignment horizontal="left"/>
    </xf>
    <xf numFmtId="0" fontId="52" fillId="3" borderId="0" xfId="20" applyFont="1" applyFill="1" applyAlignment="1">
      <alignment horizontal="center"/>
    </xf>
    <xf numFmtId="49" fontId="51" fillId="3" borderId="0" xfId="20" applyNumberFormat="1" applyFont="1" applyFill="1"/>
    <xf numFmtId="49" fontId="47" fillId="3" borderId="0" xfId="20" applyNumberFormat="1" applyFont="1" applyFill="1"/>
    <xf numFmtId="0" fontId="51" fillId="42" borderId="11" xfId="20" applyFont="1" applyFill="1" applyBorder="1" applyAlignment="1">
      <alignment horizontal="center"/>
    </xf>
    <xf numFmtId="0" fontId="51" fillId="3" borderId="0" xfId="20" applyFont="1" applyFill="1" applyAlignment="1">
      <alignment horizontal="center"/>
    </xf>
    <xf numFmtId="0" fontId="47" fillId="43" borderId="9" xfId="20" applyFont="1" applyFill="1" applyBorder="1"/>
    <xf numFmtId="0" fontId="47" fillId="43" borderId="8" xfId="20" applyFont="1" applyFill="1" applyBorder="1"/>
    <xf numFmtId="0" fontId="47" fillId="43" borderId="10" xfId="20" applyFont="1" applyFill="1" applyBorder="1"/>
    <xf numFmtId="0" fontId="47" fillId="3" borderId="0" xfId="108" applyFont="1" applyFill="1"/>
    <xf numFmtId="49" fontId="47" fillId="3" borderId="0" xfId="20" applyNumberFormat="1" applyFont="1" applyFill="1" applyAlignment="1">
      <alignment horizontal="left" vertical="center"/>
    </xf>
    <xf numFmtId="42" fontId="53" fillId="43" borderId="27" xfId="20" applyNumberFormat="1" applyFont="1" applyFill="1" applyBorder="1"/>
    <xf numFmtId="42" fontId="53" fillId="43" borderId="28" xfId="20" applyNumberFormat="1" applyFont="1" applyFill="1" applyBorder="1"/>
    <xf numFmtId="42" fontId="53" fillId="3" borderId="0" xfId="20" applyNumberFormat="1" applyFont="1" applyFill="1"/>
    <xf numFmtId="41" fontId="51" fillId="3" borderId="0" xfId="20" applyNumberFormat="1" applyFont="1" applyFill="1"/>
    <xf numFmtId="0" fontId="47" fillId="3" borderId="0" xfId="20" applyFont="1" applyFill="1" applyAlignment="1">
      <alignment vertical="center"/>
    </xf>
    <xf numFmtId="42" fontId="51" fillId="43" borderId="27" xfId="20" applyNumberFormat="1" applyFont="1" applyFill="1" applyBorder="1"/>
    <xf numFmtId="42" fontId="51" fillId="43" borderId="28" xfId="20" applyNumberFormat="1" applyFont="1" applyFill="1" applyBorder="1"/>
    <xf numFmtId="42" fontId="51" fillId="3" borderId="0" xfId="20" applyNumberFormat="1" applyFont="1" applyFill="1"/>
    <xf numFmtId="38" fontId="51" fillId="3" borderId="0" xfId="20" applyNumberFormat="1" applyFont="1" applyFill="1"/>
    <xf numFmtId="38" fontId="51" fillId="43" borderId="27" xfId="20" applyNumberFormat="1" applyFont="1" applyFill="1" applyBorder="1"/>
    <xf numFmtId="38" fontId="51" fillId="43" borderId="28" xfId="20" applyNumberFormat="1" applyFont="1" applyFill="1" applyBorder="1"/>
    <xf numFmtId="38" fontId="47" fillId="3" borderId="0" xfId="20" applyNumberFormat="1" applyFont="1" applyFill="1" applyAlignment="1">
      <alignment horizontal="left"/>
    </xf>
    <xf numFmtId="41" fontId="54" fillId="43" borderId="27" xfId="20" applyNumberFormat="1" applyFont="1" applyFill="1" applyBorder="1"/>
    <xf numFmtId="42" fontId="55" fillId="3" borderId="0" xfId="20" applyNumberFormat="1" applyFont="1" applyFill="1"/>
    <xf numFmtId="38" fontId="51" fillId="3" borderId="0" xfId="20" applyNumberFormat="1" applyFont="1" applyFill="1" applyAlignment="1">
      <alignment horizontal="left"/>
    </xf>
    <xf numFmtId="42" fontId="56" fillId="43" borderId="27" xfId="20" applyNumberFormat="1" applyFont="1" applyFill="1" applyBorder="1"/>
    <xf numFmtId="42" fontId="57" fillId="3" borderId="0" xfId="20" applyNumberFormat="1" applyFont="1" applyFill="1"/>
    <xf numFmtId="0" fontId="47" fillId="43" borderId="3" xfId="20" applyFont="1" applyFill="1" applyBorder="1"/>
    <xf numFmtId="0" fontId="58" fillId="3" borderId="0" xfId="20" applyFont="1" applyFill="1" applyAlignment="1">
      <alignment vertical="center"/>
    </xf>
    <xf numFmtId="41" fontId="47" fillId="43" borderId="0" xfId="20" applyNumberFormat="1" applyFont="1" applyFill="1" applyBorder="1"/>
    <xf numFmtId="42" fontId="47" fillId="43" borderId="0" xfId="20" applyNumberFormat="1" applyFont="1" applyFill="1" applyBorder="1"/>
    <xf numFmtId="42" fontId="47" fillId="43" borderId="0" xfId="20" applyNumberFormat="1" applyFont="1" applyFill="1" applyBorder="1" applyAlignment="1">
      <alignment horizontal="right"/>
    </xf>
    <xf numFmtId="42" fontId="47" fillId="3" borderId="0" xfId="20" applyNumberFormat="1" applyFont="1" applyFill="1" applyBorder="1"/>
    <xf numFmtId="0" fontId="59" fillId="3" borderId="0" xfId="0" applyFont="1" applyFill="1"/>
    <xf numFmtId="0" fontId="47" fillId="35" borderId="9" xfId="20" applyFont="1" applyFill="1" applyBorder="1" applyAlignment="1">
      <alignment vertical="center"/>
    </xf>
    <xf numFmtId="41" fontId="47" fillId="35" borderId="8" xfId="20" applyNumberFormat="1" applyFont="1" applyFill="1" applyBorder="1" applyAlignment="1">
      <alignment vertical="center"/>
    </xf>
    <xf numFmtId="0" fontId="60" fillId="3" borderId="0" xfId="0" applyFont="1" applyFill="1"/>
    <xf numFmtId="0" fontId="51" fillId="35" borderId="27" xfId="20" applyFont="1" applyFill="1" applyBorder="1" applyAlignment="1">
      <alignment vertical="center"/>
    </xf>
    <xf numFmtId="42" fontId="51" fillId="35" borderId="29" xfId="20" applyNumberFormat="1" applyFont="1" applyFill="1" applyBorder="1" applyAlignment="1">
      <alignment vertical="center"/>
    </xf>
    <xf numFmtId="0" fontId="10" fillId="35" borderId="2" xfId="20" applyFont="1" applyFill="1" applyBorder="1" applyAlignment="1">
      <alignment vertical="center"/>
    </xf>
    <xf numFmtId="166" fontId="61" fillId="35" borderId="1" xfId="33" applyNumberFormat="1" applyFont="1" applyFill="1" applyBorder="1" applyAlignment="1">
      <alignment vertical="center"/>
    </xf>
    <xf numFmtId="0" fontId="10" fillId="35" borderId="1" xfId="20" applyFont="1" applyFill="1" applyBorder="1" applyAlignment="1">
      <alignment vertical="center"/>
    </xf>
    <xf numFmtId="41" fontId="10" fillId="35" borderId="1" xfId="20" applyNumberFormat="1" applyFont="1" applyFill="1" applyBorder="1" applyAlignment="1">
      <alignment vertical="center"/>
    </xf>
    <xf numFmtId="166" fontId="61" fillId="35" borderId="3" xfId="33" applyNumberFormat="1" applyFont="1" applyFill="1" applyBorder="1" applyAlignment="1">
      <alignment vertical="center"/>
    </xf>
    <xf numFmtId="166" fontId="61" fillId="3" borderId="0" xfId="33" applyNumberFormat="1" applyFont="1" applyFill="1" applyAlignment="1">
      <alignment vertical="center"/>
    </xf>
    <xf numFmtId="41" fontId="10" fillId="3" borderId="0" xfId="20" applyNumberFormat="1" applyFont="1" applyFill="1" applyAlignment="1">
      <alignment vertical="center"/>
    </xf>
    <xf numFmtId="0" fontId="51" fillId="35" borderId="0" xfId="20" applyFont="1" applyFill="1" applyBorder="1" applyAlignment="1">
      <alignment vertical="center"/>
    </xf>
    <xf numFmtId="41" fontId="51" fillId="35" borderId="0" xfId="20" applyNumberFormat="1" applyFont="1" applyFill="1" applyBorder="1" applyAlignment="1">
      <alignment vertical="center"/>
    </xf>
    <xf numFmtId="42" fontId="47" fillId="43" borderId="0" xfId="66" quotePrefix="1" applyNumberFormat="1" applyFont="1" applyFill="1" applyBorder="1"/>
    <xf numFmtId="41" fontId="47" fillId="43" borderId="0" xfId="66" quotePrefix="1" applyNumberFormat="1" applyFont="1" applyFill="1" applyBorder="1"/>
    <xf numFmtId="41" fontId="48" fillId="43" borderId="0" xfId="20" applyNumberFormat="1" applyFont="1" applyFill="1" applyBorder="1"/>
    <xf numFmtId="42" fontId="53" fillId="43" borderId="0" xfId="20" applyNumberFormat="1" applyFont="1" applyFill="1" applyBorder="1"/>
    <xf numFmtId="41" fontId="47" fillId="43" borderId="0" xfId="20" applyNumberFormat="1" applyFont="1" applyFill="1" applyBorder="1" applyAlignment="1">
      <alignment horizontal="right"/>
    </xf>
    <xf numFmtId="41" fontId="48" fillId="43" borderId="0" xfId="20" applyNumberFormat="1" applyFont="1" applyFill="1" applyBorder="1" applyAlignment="1">
      <alignment horizontal="right"/>
    </xf>
    <xf numFmtId="0" fontId="34" fillId="3" borderId="11" xfId="0" applyFont="1" applyFill="1" applyBorder="1" applyAlignment="1">
      <alignment horizontal="center" vertical="center"/>
    </xf>
    <xf numFmtId="41" fontId="33" fillId="35" borderId="11" xfId="0" applyNumberFormat="1" applyFont="1" applyFill="1" applyBorder="1"/>
    <xf numFmtId="41" fontId="34" fillId="35" borderId="11" xfId="0" applyNumberFormat="1" applyFont="1" applyFill="1" applyBorder="1"/>
    <xf numFmtId="42" fontId="10" fillId="3" borderId="0" xfId="0" applyNumberFormat="1" applyFont="1" applyFill="1"/>
    <xf numFmtId="42" fontId="8" fillId="3" borderId="26" xfId="0" applyNumberFormat="1" applyFont="1" applyFill="1" applyBorder="1"/>
    <xf numFmtId="42" fontId="8" fillId="3" borderId="0" xfId="0" applyNumberFormat="1" applyFont="1" applyFill="1"/>
    <xf numFmtId="41" fontId="47" fillId="35" borderId="5" xfId="20" applyNumberFormat="1" applyFont="1" applyFill="1" applyBorder="1" applyAlignment="1">
      <alignment vertical="center"/>
    </xf>
    <xf numFmtId="41" fontId="47" fillId="35" borderId="7" xfId="20" applyNumberFormat="1" applyFont="1" applyFill="1" applyBorder="1" applyAlignment="1">
      <alignment vertical="center"/>
    </xf>
    <xf numFmtId="42" fontId="10" fillId="38" borderId="0" xfId="20" applyNumberFormat="1" applyFont="1" applyFill="1" applyBorder="1" applyAlignment="1">
      <alignment horizontal="center" vertical="center" wrapText="1"/>
    </xf>
    <xf numFmtId="42" fontId="10" fillId="3" borderId="0" xfId="0" applyNumberFormat="1" applyFont="1" applyFill="1" applyBorder="1"/>
    <xf numFmtId="42" fontId="8" fillId="39" borderId="0" xfId="0" applyNumberFormat="1" applyFont="1" applyFill="1"/>
    <xf numFmtId="42" fontId="10" fillId="35" borderId="0" xfId="0" applyNumberFormat="1" applyFont="1" applyFill="1"/>
    <xf numFmtId="42" fontId="10" fillId="35" borderId="0" xfId="20" applyNumberFormat="1" applyFont="1" applyFill="1" applyBorder="1" applyAlignment="1">
      <alignment horizontal="center" vertical="center" wrapText="1"/>
    </xf>
    <xf numFmtId="42" fontId="8" fillId="38" borderId="26" xfId="0" applyNumberFormat="1" applyFont="1" applyFill="1" applyBorder="1"/>
    <xf numFmtId="42" fontId="8" fillId="3" borderId="0" xfId="0" applyNumberFormat="1" applyFont="1" applyFill="1" applyBorder="1"/>
    <xf numFmtId="42" fontId="8" fillId="39" borderId="26" xfId="0" applyNumberFormat="1" applyFont="1" applyFill="1" applyBorder="1"/>
    <xf numFmtId="42" fontId="8" fillId="35" borderId="26" xfId="0" applyNumberFormat="1" applyFont="1" applyFill="1" applyBorder="1"/>
    <xf numFmtId="42" fontId="10" fillId="3" borderId="26" xfId="0" applyNumberFormat="1" applyFont="1" applyFill="1" applyBorder="1"/>
    <xf numFmtId="42" fontId="10" fillId="35" borderId="26" xfId="0" applyNumberFormat="1" applyFont="1" applyFill="1" applyBorder="1"/>
    <xf numFmtId="41" fontId="10" fillId="41" borderId="1" xfId="0" applyNumberFormat="1" applyFont="1" applyFill="1" applyBorder="1"/>
    <xf numFmtId="0" fontId="63" fillId="3" borderId="0" xfId="20" applyFont="1" applyFill="1"/>
    <xf numFmtId="0" fontId="64" fillId="3" borderId="0" xfId="20" applyFont="1" applyFill="1" applyAlignment="1">
      <alignment horizontal="left"/>
    </xf>
    <xf numFmtId="0" fontId="10" fillId="3" borderId="0" xfId="0" applyNumberFormat="1" applyFont="1" applyFill="1" applyAlignment="1">
      <alignment horizontal="center"/>
    </xf>
    <xf numFmtId="41" fontId="8" fillId="3" borderId="0" xfId="0" applyNumberFormat="1" applyFont="1" applyFill="1" applyAlignment="1">
      <alignment horizontal="center"/>
    </xf>
    <xf numFmtId="0" fontId="10" fillId="3" borderId="0" xfId="0" applyFont="1" applyFill="1" applyAlignment="1">
      <alignment horizontal="right" indent="1"/>
    </xf>
    <xf numFmtId="0" fontId="8" fillId="3" borderId="0" xfId="0" applyFont="1" applyFill="1" applyAlignment="1">
      <alignment horizontal="right" indent="1"/>
    </xf>
    <xf numFmtId="10" fontId="30" fillId="42" borderId="0" xfId="20" applyNumberFormat="1" applyFont="1" applyFill="1" applyBorder="1" applyAlignment="1">
      <alignment horizontal="center" vertical="center" wrapText="1"/>
    </xf>
    <xf numFmtId="9" fontId="8" fillId="37" borderId="0" xfId="20" applyNumberFormat="1" applyFont="1" applyFill="1" applyBorder="1" applyAlignment="1">
      <alignment horizontal="center" vertical="center" wrapText="1"/>
    </xf>
    <xf numFmtId="49" fontId="10" fillId="3" borderId="0" xfId="0" applyNumberFormat="1" applyFont="1" applyFill="1" applyAlignment="1">
      <alignment horizontal="center"/>
    </xf>
    <xf numFmtId="0" fontId="10" fillId="3" borderId="0" xfId="0" quotePrefix="1" applyNumberFormat="1" applyFont="1" applyFill="1" applyAlignment="1">
      <alignment horizontal="center"/>
    </xf>
    <xf numFmtId="0" fontId="8" fillId="0" borderId="0" xfId="20" applyFont="1" applyFill="1" applyAlignment="1">
      <alignment horizontal="right" vertical="top"/>
    </xf>
    <xf numFmtId="0" fontId="40" fillId="3" borderId="0" xfId="20" applyFont="1" applyFill="1" applyBorder="1" applyAlignment="1">
      <alignment horizontal="right" vertical="center"/>
    </xf>
    <xf numFmtId="10" fontId="40" fillId="3" borderId="0" xfId="33" applyNumberFormat="1" applyFont="1" applyFill="1" applyBorder="1" applyAlignment="1">
      <alignment horizontal="right" vertical="center"/>
    </xf>
    <xf numFmtId="10" fontId="10" fillId="3" borderId="0" xfId="33" applyNumberFormat="1" applyFont="1" applyFill="1" applyBorder="1" applyAlignment="1"/>
    <xf numFmtId="10" fontId="40" fillId="3" borderId="28" xfId="33" applyNumberFormat="1" applyFont="1" applyFill="1" applyBorder="1" applyAlignment="1">
      <alignment horizontal="right" vertical="center"/>
    </xf>
    <xf numFmtId="10" fontId="10" fillId="35" borderId="0" xfId="0" applyNumberFormat="1" applyFont="1" applyFill="1" applyBorder="1" applyAlignment="1"/>
    <xf numFmtId="10" fontId="10" fillId="35" borderId="28" xfId="0" applyNumberFormat="1" applyFont="1" applyFill="1" applyBorder="1" applyAlignment="1"/>
    <xf numFmtId="0" fontId="8" fillId="35" borderId="2" xfId="20" applyFont="1" applyFill="1" applyBorder="1" applyAlignment="1">
      <alignment horizontal="right" vertical="top"/>
    </xf>
    <xf numFmtId="0" fontId="40" fillId="35" borderId="1" xfId="20" applyFont="1" applyFill="1" applyBorder="1" applyAlignment="1">
      <alignment horizontal="right" vertical="center"/>
    </xf>
    <xf numFmtId="41" fontId="10" fillId="35" borderId="1" xfId="0" applyNumberFormat="1" applyFont="1" applyFill="1" applyBorder="1" applyAlignment="1"/>
    <xf numFmtId="10" fontId="40" fillId="35" borderId="1" xfId="33" applyNumberFormat="1" applyFont="1" applyFill="1" applyBorder="1" applyAlignment="1">
      <alignment horizontal="right" vertical="center"/>
    </xf>
    <xf numFmtId="10" fontId="10" fillId="35" borderId="1" xfId="33" applyNumberFormat="1" applyFont="1" applyFill="1" applyBorder="1" applyAlignment="1"/>
    <xf numFmtId="10" fontId="40" fillId="35" borderId="3" xfId="33" applyNumberFormat="1" applyFont="1" applyFill="1" applyBorder="1" applyAlignment="1">
      <alignment horizontal="right" vertical="center"/>
    </xf>
    <xf numFmtId="9" fontId="67" fillId="3" borderId="0" xfId="33" applyFont="1" applyFill="1"/>
    <xf numFmtId="9" fontId="10" fillId="38" borderId="0" xfId="33" applyFont="1" applyFill="1" applyBorder="1" applyAlignment="1">
      <alignment horizontal="center" vertical="center" wrapText="1"/>
    </xf>
    <xf numFmtId="0" fontId="30" fillId="36" borderId="30" xfId="20" applyNumberFormat="1" applyFont="1" applyFill="1" applyBorder="1" applyAlignment="1">
      <alignment horizontal="center" vertical="center" wrapText="1"/>
    </xf>
    <xf numFmtId="166" fontId="50" fillId="3" borderId="0" xfId="33" applyNumberFormat="1" applyFont="1" applyFill="1" applyAlignment="1">
      <alignment horizontal="center"/>
    </xf>
    <xf numFmtId="0" fontId="51" fillId="3" borderId="0" xfId="20" applyFont="1" applyFill="1" applyAlignment="1"/>
    <xf numFmtId="0" fontId="69" fillId="36" borderId="11" xfId="20" applyFont="1" applyFill="1" applyBorder="1" applyAlignment="1">
      <alignment horizontal="center"/>
    </xf>
    <xf numFmtId="0" fontId="47" fillId="3" borderId="0" xfId="20" applyFont="1" applyFill="1" applyAlignment="1"/>
    <xf numFmtId="0" fontId="52" fillId="3" borderId="0" xfId="20" applyFont="1" applyFill="1" applyBorder="1" applyAlignment="1">
      <alignment horizontal="left"/>
    </xf>
    <xf numFmtId="0" fontId="52" fillId="3" borderId="0" xfId="20" applyFont="1" applyFill="1" applyAlignment="1">
      <alignment horizontal="left"/>
    </xf>
    <xf numFmtId="0" fontId="52" fillId="3" borderId="0" xfId="20" applyFont="1" applyFill="1"/>
    <xf numFmtId="0" fontId="52" fillId="3" borderId="0" xfId="20" applyFont="1" applyFill="1" applyBorder="1"/>
    <xf numFmtId="41" fontId="52" fillId="3" borderId="11" xfId="20" applyNumberFormat="1" applyFont="1" applyFill="1" applyBorder="1"/>
    <xf numFmtId="38" fontId="51" fillId="3" borderId="0" xfId="20" applyNumberFormat="1" applyFont="1" applyFill="1" applyBorder="1"/>
    <xf numFmtId="42" fontId="56" fillId="43" borderId="0" xfId="20" applyNumberFormat="1" applyFont="1" applyFill="1" applyBorder="1"/>
    <xf numFmtId="38" fontId="51" fillId="43" borderId="0" xfId="20" applyNumberFormat="1" applyFont="1" applyFill="1" applyBorder="1"/>
    <xf numFmtId="42" fontId="56" fillId="3" borderId="0" xfId="20" applyNumberFormat="1" applyFont="1" applyFill="1" applyBorder="1"/>
    <xf numFmtId="42" fontId="51" fillId="43" borderId="0" xfId="20" applyNumberFormat="1" applyFont="1" applyFill="1" applyBorder="1"/>
    <xf numFmtId="41" fontId="54" fillId="43" borderId="0" xfId="20" applyNumberFormat="1" applyFont="1" applyFill="1" applyBorder="1"/>
    <xf numFmtId="42" fontId="56" fillId="43" borderId="2" xfId="20" applyNumberFormat="1" applyFont="1" applyFill="1" applyBorder="1"/>
    <xf numFmtId="42" fontId="56" fillId="43" borderId="1" xfId="20" applyNumberFormat="1" applyFont="1" applyFill="1" applyBorder="1"/>
    <xf numFmtId="38" fontId="51" fillId="43" borderId="3" xfId="20" applyNumberFormat="1" applyFont="1" applyFill="1" applyBorder="1"/>
    <xf numFmtId="0" fontId="65" fillId="3" borderId="0" xfId="20" applyFont="1" applyFill="1"/>
    <xf numFmtId="0" fontId="47" fillId="3" borderId="0" xfId="20" applyFont="1" applyFill="1" applyAlignment="1">
      <alignment horizontal="left" indent="1"/>
    </xf>
    <xf numFmtId="166" fontId="50" fillId="43" borderId="2" xfId="33" applyNumberFormat="1" applyFont="1" applyFill="1" applyBorder="1" applyAlignment="1">
      <alignment horizontal="center"/>
    </xf>
    <xf numFmtId="166" fontId="50" fillId="43" borderId="1" xfId="33" applyNumberFormat="1" applyFont="1" applyFill="1" applyBorder="1" applyAlignment="1">
      <alignment horizontal="center"/>
    </xf>
    <xf numFmtId="166" fontId="50" fillId="43" borderId="3" xfId="33" applyNumberFormat="1" applyFont="1" applyFill="1" applyBorder="1" applyAlignment="1">
      <alignment horizontal="center"/>
    </xf>
    <xf numFmtId="166" fontId="49" fillId="43" borderId="3" xfId="33" applyNumberFormat="1" applyFont="1" applyFill="1" applyBorder="1"/>
    <xf numFmtId="41" fontId="10" fillId="43" borderId="0" xfId="0" applyNumberFormat="1" applyFont="1" applyFill="1"/>
    <xf numFmtId="42" fontId="10" fillId="43" borderId="0" xfId="0" applyNumberFormat="1" applyFont="1" applyFill="1"/>
    <xf numFmtId="41" fontId="10" fillId="43" borderId="5" xfId="0" applyNumberFormat="1" applyFont="1" applyFill="1" applyBorder="1"/>
    <xf numFmtId="41" fontId="10" fillId="43" borderId="0" xfId="0" applyNumberFormat="1" applyFont="1" applyFill="1" applyBorder="1"/>
    <xf numFmtId="41" fontId="8" fillId="43" borderId="1" xfId="0" applyNumberFormat="1" applyFont="1" applyFill="1" applyBorder="1"/>
    <xf numFmtId="41" fontId="8" fillId="43" borderId="0" xfId="0" applyNumberFormat="1" applyFont="1" applyFill="1"/>
    <xf numFmtId="41" fontId="8" fillId="43" borderId="0" xfId="0" applyNumberFormat="1" applyFont="1" applyFill="1" applyBorder="1"/>
    <xf numFmtId="42" fontId="8" fillId="43" borderId="26" xfId="0" applyNumberFormat="1" applyFont="1" applyFill="1" applyBorder="1"/>
    <xf numFmtId="43" fontId="73" fillId="3" borderId="0" xfId="20" applyNumberFormat="1" applyFont="1" applyFill="1" applyAlignment="1">
      <alignment horizontal="right"/>
    </xf>
    <xf numFmtId="43" fontId="74" fillId="3" borderId="0" xfId="20" applyNumberFormat="1" applyFont="1" applyFill="1" applyAlignment="1">
      <alignment horizontal="right"/>
    </xf>
    <xf numFmtId="43" fontId="74" fillId="3" borderId="0" xfId="20" applyNumberFormat="1" applyFont="1" applyFill="1" applyAlignment="1">
      <alignment horizontal="right" vertical="center" wrapText="1"/>
    </xf>
    <xf numFmtId="43" fontId="74" fillId="3" borderId="0" xfId="0" applyNumberFormat="1" applyFont="1" applyFill="1" applyAlignment="1">
      <alignment horizontal="right"/>
    </xf>
    <xf numFmtId="43" fontId="75" fillId="3" borderId="0" xfId="0" applyNumberFormat="1" applyFont="1" applyFill="1" applyAlignment="1">
      <alignment horizontal="right"/>
    </xf>
    <xf numFmtId="49" fontId="76" fillId="46" borderId="33" xfId="0" applyNumberFormat="1" applyFont="1" applyFill="1" applyBorder="1"/>
    <xf numFmtId="49" fontId="76" fillId="46" borderId="34" xfId="0" applyNumberFormat="1" applyFont="1" applyFill="1" applyBorder="1"/>
    <xf numFmtId="49" fontId="76" fillId="0" borderId="34" xfId="0" applyNumberFormat="1" applyFont="1" applyBorder="1"/>
    <xf numFmtId="49" fontId="77" fillId="46" borderId="35" xfId="0" applyNumberFormat="1" applyFont="1" applyFill="1" applyBorder="1" applyAlignment="1">
      <alignment horizontal="center"/>
    </xf>
    <xf numFmtId="49" fontId="77" fillId="46" borderId="11" xfId="0" applyNumberFormat="1" applyFont="1" applyFill="1" applyBorder="1" applyAlignment="1">
      <alignment horizontal="center"/>
    </xf>
    <xf numFmtId="49" fontId="77" fillId="0" borderId="11" xfId="0" applyNumberFormat="1" applyFont="1" applyBorder="1" applyAlignment="1">
      <alignment horizontal="center"/>
    </xf>
    <xf numFmtId="49" fontId="76" fillId="0" borderId="11" xfId="0" applyNumberFormat="1" applyFont="1" applyBorder="1"/>
    <xf numFmtId="49" fontId="77" fillId="46" borderId="36" xfId="0" applyNumberFormat="1" applyFont="1" applyFill="1" applyBorder="1" applyAlignment="1">
      <alignment wrapText="1"/>
    </xf>
    <xf numFmtId="49" fontId="77" fillId="46" borderId="37" xfId="0" applyNumberFormat="1" applyFont="1" applyFill="1" applyBorder="1" applyAlignment="1">
      <alignment wrapText="1"/>
    </xf>
    <xf numFmtId="49" fontId="77" fillId="0" borderId="37" xfId="0" applyNumberFormat="1" applyFont="1" applyBorder="1" applyAlignment="1">
      <alignment wrapText="1"/>
    </xf>
    <xf numFmtId="49" fontId="3" fillId="46" borderId="32" xfId="0" applyNumberFormat="1" applyFont="1" applyFill="1" applyBorder="1"/>
    <xf numFmtId="49" fontId="3" fillId="0" borderId="11" xfId="0" applyNumberFormat="1" applyFont="1" applyBorder="1"/>
    <xf numFmtId="49" fontId="3" fillId="46" borderId="11" xfId="0" applyNumberFormat="1" applyFont="1" applyFill="1" applyBorder="1"/>
    <xf numFmtId="49" fontId="79" fillId="0" borderId="34" xfId="0" applyNumberFormat="1" applyFont="1" applyBorder="1"/>
    <xf numFmtId="49" fontId="79" fillId="0" borderId="11" xfId="0" applyNumberFormat="1" applyFont="1" applyBorder="1"/>
    <xf numFmtId="49" fontId="80" fillId="0" borderId="37" xfId="0" applyNumberFormat="1" applyFont="1" applyBorder="1" applyAlignment="1">
      <alignment wrapText="1"/>
    </xf>
    <xf numFmtId="49" fontId="80" fillId="0" borderId="11" xfId="0" applyNumberFormat="1" applyFont="1" applyBorder="1"/>
    <xf numFmtId="167" fontId="8" fillId="3" borderId="0" xfId="109" applyNumberFormat="1" applyFont="1" applyFill="1"/>
    <xf numFmtId="167" fontId="8" fillId="3" borderId="0" xfId="109" applyNumberFormat="1" applyFont="1" applyFill="1" applyAlignment="1">
      <alignment horizontal="center"/>
    </xf>
    <xf numFmtId="167" fontId="33" fillId="3" borderId="0" xfId="109" applyNumberFormat="1" applyFont="1" applyFill="1"/>
    <xf numFmtId="167" fontId="34" fillId="35" borderId="11" xfId="109" applyNumberFormat="1" applyFont="1" applyFill="1" applyBorder="1" applyAlignment="1">
      <alignment horizontal="center" vertical="center"/>
    </xf>
    <xf numFmtId="167" fontId="33" fillId="3" borderId="0" xfId="109" applyNumberFormat="1" applyFont="1" applyFill="1" applyBorder="1"/>
    <xf numFmtId="167" fontId="34" fillId="3" borderId="0" xfId="109" applyNumberFormat="1" applyFont="1" applyFill="1" applyAlignment="1">
      <alignment horizontal="right"/>
    </xf>
    <xf numFmtId="167" fontId="0" fillId="3" borderId="0" xfId="109" applyNumberFormat="1" applyFont="1" applyFill="1"/>
    <xf numFmtId="44" fontId="70" fillId="3" borderId="0" xfId="32" applyFont="1" applyFill="1"/>
    <xf numFmtId="44" fontId="70" fillId="3" borderId="0" xfId="32" applyFont="1" applyFill="1" applyAlignment="1">
      <alignment wrapText="1"/>
    </xf>
    <xf numFmtId="44" fontId="70" fillId="3" borderId="0" xfId="32" applyFont="1" applyFill="1" applyAlignment="1">
      <alignment horizontal="center"/>
    </xf>
    <xf numFmtId="44" fontId="71" fillId="3" borderId="0" xfId="32" applyFont="1" applyFill="1"/>
    <xf numFmtId="44" fontId="70" fillId="45" borderId="11" xfId="32" applyFont="1" applyFill="1" applyBorder="1" applyAlignment="1">
      <alignment horizontal="center" vertical="center"/>
    </xf>
    <xf numFmtId="44" fontId="72" fillId="3" borderId="0" xfId="32" applyFont="1" applyFill="1"/>
    <xf numFmtId="49" fontId="8" fillId="3" borderId="0" xfId="20" applyNumberFormat="1" applyFont="1" applyFill="1" applyAlignment="1">
      <alignment horizontal="center"/>
    </xf>
    <xf numFmtId="49" fontId="10" fillId="3" borderId="0" xfId="20" applyNumberFormat="1" applyFont="1" applyFill="1" applyAlignment="1">
      <alignment horizontal="center"/>
    </xf>
    <xf numFmtId="49" fontId="33" fillId="3" borderId="0" xfId="0" applyNumberFormat="1" applyFont="1" applyFill="1" applyAlignment="1">
      <alignment horizontal="center"/>
    </xf>
    <xf numFmtId="49" fontId="34" fillId="35" borderId="11" xfId="0" applyNumberFormat="1" applyFont="1" applyFill="1" applyBorder="1" applyAlignment="1">
      <alignment horizontal="center" vertical="center"/>
    </xf>
    <xf numFmtId="49" fontId="33" fillId="3" borderId="0" xfId="0" applyNumberFormat="1" applyFont="1" applyFill="1" applyBorder="1" applyAlignment="1">
      <alignment horizontal="center"/>
    </xf>
    <xf numFmtId="49" fontId="0" fillId="3" borderId="0" xfId="0" applyNumberFormat="1" applyFill="1" applyAlignment="1">
      <alignment horizontal="center"/>
    </xf>
    <xf numFmtId="49" fontId="8" fillId="3" borderId="0" xfId="20" applyNumberFormat="1" applyFont="1" applyFill="1" applyAlignment="1">
      <alignment horizontal="left"/>
    </xf>
    <xf numFmtId="49" fontId="10" fillId="3" borderId="0" xfId="20" applyNumberFormat="1" applyFont="1" applyFill="1"/>
    <xf numFmtId="49" fontId="33" fillId="3" borderId="0" xfId="0" applyNumberFormat="1" applyFont="1" applyFill="1"/>
    <xf numFmtId="49" fontId="33" fillId="3" borderId="0" xfId="0" applyNumberFormat="1" applyFont="1" applyFill="1" applyBorder="1"/>
    <xf numFmtId="49" fontId="33" fillId="3" borderId="0" xfId="0" applyNumberFormat="1" applyFont="1" applyFill="1" applyAlignment="1">
      <alignment horizontal="left"/>
    </xf>
    <xf numFmtId="49" fontId="0" fillId="3" borderId="0" xfId="0" applyNumberFormat="1" applyFill="1"/>
    <xf numFmtId="0" fontId="33" fillId="3" borderId="0" xfId="0" applyFont="1" applyFill="1" applyProtection="1"/>
    <xf numFmtId="0" fontId="34" fillId="3" borderId="0" xfId="0" applyFont="1" applyFill="1" applyAlignment="1" applyProtection="1">
      <alignment horizontal="center"/>
    </xf>
    <xf numFmtId="0" fontId="33" fillId="3" borderId="0" xfId="0" applyFont="1" applyFill="1" applyAlignment="1" applyProtection="1">
      <alignment horizontal="center"/>
    </xf>
    <xf numFmtId="44" fontId="33" fillId="3" borderId="0" xfId="32" applyFont="1" applyFill="1" applyBorder="1" applyProtection="1"/>
    <xf numFmtId="0" fontId="33" fillId="3" borderId="0" xfId="0" applyFont="1" applyFill="1" applyBorder="1" applyProtection="1"/>
    <xf numFmtId="0" fontId="33" fillId="3" borderId="0" xfId="0" applyFont="1" applyFill="1" applyBorder="1" applyAlignment="1" applyProtection="1">
      <alignment horizontal="center"/>
    </xf>
    <xf numFmtId="0" fontId="34" fillId="3" borderId="0" xfId="0" applyFont="1" applyFill="1" applyAlignment="1" applyProtection="1">
      <alignment horizontal="left" indent="2"/>
    </xf>
    <xf numFmtId="44" fontId="34" fillId="3" borderId="0" xfId="0" applyNumberFormat="1" applyFont="1" applyFill="1" applyBorder="1" applyProtection="1"/>
    <xf numFmtId="44" fontId="34" fillId="3" borderId="0" xfId="0" applyNumberFormat="1" applyFont="1" applyFill="1" applyProtection="1"/>
    <xf numFmtId="0" fontId="34" fillId="3" borderId="0" xfId="0" applyFont="1" applyFill="1" applyProtection="1"/>
    <xf numFmtId="10" fontId="10" fillId="3" borderId="11" xfId="33" applyNumberFormat="1" applyFont="1" applyFill="1" applyBorder="1" applyProtection="1"/>
    <xf numFmtId="10" fontId="33" fillId="3" borderId="0" xfId="33" applyNumberFormat="1" applyFont="1" applyFill="1" applyBorder="1" applyProtection="1"/>
    <xf numFmtId="10" fontId="33" fillId="3" borderId="11" xfId="0" applyNumberFormat="1" applyFont="1" applyFill="1" applyBorder="1" applyProtection="1"/>
    <xf numFmtId="10" fontId="33" fillId="3" borderId="0" xfId="0" applyNumberFormat="1" applyFont="1" applyFill="1" applyBorder="1" applyProtection="1"/>
    <xf numFmtId="0" fontId="36" fillId="3" borderId="0" xfId="0" applyFont="1" applyFill="1" applyProtection="1"/>
    <xf numFmtId="0" fontId="36" fillId="3" borderId="0" xfId="0" applyFont="1" applyFill="1" applyAlignment="1" applyProtection="1">
      <alignment horizontal="center"/>
    </xf>
    <xf numFmtId="0" fontId="66" fillId="3" borderId="0" xfId="0" applyFont="1" applyFill="1" applyProtection="1"/>
    <xf numFmtId="0" fontId="66" fillId="3" borderId="0" xfId="0" applyFont="1" applyFill="1" applyAlignment="1" applyProtection="1">
      <alignment horizontal="center"/>
    </xf>
    <xf numFmtId="10" fontId="66" fillId="3" borderId="11" xfId="0" applyNumberFormat="1" applyFont="1" applyFill="1" applyBorder="1" applyProtection="1"/>
    <xf numFmtId="44" fontId="33" fillId="3" borderId="0" xfId="32" applyFont="1" applyFill="1" applyProtection="1"/>
    <xf numFmtId="44" fontId="66" fillId="3" borderId="0" xfId="32" applyFont="1" applyFill="1" applyProtection="1"/>
    <xf numFmtId="10" fontId="30" fillId="42" borderId="0" xfId="33" applyNumberFormat="1" applyFont="1" applyFill="1" applyBorder="1" applyAlignment="1">
      <alignment horizontal="center" vertical="center" wrapText="1"/>
    </xf>
    <xf numFmtId="1" fontId="79" fillId="0" borderId="34" xfId="0" applyNumberFormat="1" applyFont="1" applyBorder="1" applyAlignment="1">
      <alignment horizontal="left"/>
    </xf>
    <xf numFmtId="1" fontId="79" fillId="0" borderId="11" xfId="0" applyNumberFormat="1" applyFont="1" applyBorder="1" applyAlignment="1">
      <alignment horizontal="left"/>
    </xf>
    <xf numFmtId="1" fontId="80" fillId="0" borderId="37" xfId="0" applyNumberFormat="1" applyFont="1" applyBorder="1" applyAlignment="1">
      <alignment horizontal="left" wrapText="1"/>
    </xf>
    <xf numFmtId="1" fontId="80" fillId="0" borderId="11" xfId="0" applyNumberFormat="1" applyFont="1" applyBorder="1" applyAlignment="1">
      <alignment horizontal="left"/>
    </xf>
    <xf numFmtId="169" fontId="8" fillId="3" borderId="0" xfId="20" applyNumberFormat="1" applyFont="1" applyFill="1" applyAlignment="1">
      <alignment wrapText="1"/>
    </xf>
    <xf numFmtId="169" fontId="8" fillId="3" borderId="0" xfId="20" applyNumberFormat="1" applyFont="1" applyFill="1"/>
    <xf numFmtId="169" fontId="8" fillId="3" borderId="0" xfId="20" applyNumberFormat="1" applyFont="1" applyFill="1" applyAlignment="1">
      <alignment horizontal="center"/>
    </xf>
    <xf numFmtId="169" fontId="8" fillId="39" borderId="11" xfId="20" applyNumberFormat="1" applyFont="1" applyFill="1" applyBorder="1" applyAlignment="1">
      <alignment horizontal="center" vertical="center" wrapText="1"/>
    </xf>
    <xf numFmtId="169" fontId="8" fillId="39" borderId="0" xfId="0" applyNumberFormat="1" applyFont="1" applyFill="1"/>
    <xf numFmtId="169" fontId="8" fillId="39" borderId="5" xfId="0" applyNumberFormat="1" applyFont="1" applyFill="1" applyBorder="1"/>
    <xf numFmtId="169" fontId="8" fillId="39" borderId="0" xfId="0" applyNumberFormat="1" applyFont="1" applyFill="1" applyBorder="1"/>
    <xf numFmtId="169" fontId="8" fillId="39" borderId="1" xfId="0" applyNumberFormat="1" applyFont="1" applyFill="1" applyBorder="1"/>
    <xf numFmtId="169" fontId="8" fillId="39" borderId="26" xfId="0" applyNumberFormat="1" applyFont="1" applyFill="1" applyBorder="1"/>
    <xf numFmtId="169" fontId="8" fillId="3" borderId="0" xfId="0" applyNumberFormat="1" applyFont="1" applyFill="1"/>
    <xf numFmtId="169" fontId="6" fillId="3" borderId="0" xfId="0" applyNumberFormat="1" applyFont="1" applyFill="1"/>
    <xf numFmtId="169" fontId="8" fillId="39" borderId="0" xfId="20" applyNumberFormat="1" applyFont="1" applyFill="1" applyBorder="1" applyAlignment="1">
      <alignment horizontal="center" vertical="center" wrapText="1"/>
    </xf>
    <xf numFmtId="41" fontId="10" fillId="3" borderId="0" xfId="32" applyNumberFormat="1" applyFont="1" applyFill="1" applyBorder="1" applyProtection="1"/>
    <xf numFmtId="41" fontId="8" fillId="3" borderId="0" xfId="0" applyNumberFormat="1" applyFont="1" applyFill="1" applyBorder="1" applyProtection="1"/>
    <xf numFmtId="41" fontId="8" fillId="3" borderId="0" xfId="0" applyNumberFormat="1" applyFont="1" applyFill="1" applyProtection="1"/>
    <xf numFmtId="41" fontId="10" fillId="3" borderId="0" xfId="0" applyNumberFormat="1" applyFont="1" applyFill="1" applyAlignment="1" applyProtection="1">
      <alignment horizontal="right"/>
    </xf>
    <xf numFmtId="41" fontId="10" fillId="3" borderId="0" xfId="0" applyNumberFormat="1" applyFont="1" applyFill="1" applyProtection="1"/>
    <xf numFmtId="168" fontId="33" fillId="3" borderId="0" xfId="0" applyNumberFormat="1" applyFont="1" applyFill="1" applyAlignment="1" applyProtection="1">
      <alignment horizontal="center"/>
    </xf>
    <xf numFmtId="168" fontId="66" fillId="3" borderId="0" xfId="0" applyNumberFormat="1" applyFont="1" applyFill="1" applyAlignment="1" applyProtection="1">
      <alignment horizontal="center"/>
    </xf>
    <xf numFmtId="0" fontId="83" fillId="0" borderId="0" xfId="0" applyFont="1"/>
    <xf numFmtId="167" fontId="0" fillId="0" borderId="0" xfId="109" applyNumberFormat="1" applyFont="1"/>
    <xf numFmtId="167" fontId="83" fillId="0" borderId="0" xfId="109" applyNumberFormat="1" applyFont="1"/>
    <xf numFmtId="49" fontId="0" fillId="0" borderId="0" xfId="0" applyNumberFormat="1"/>
    <xf numFmtId="49" fontId="83" fillId="0" borderId="0" xfId="0" applyNumberFormat="1" applyFont="1"/>
    <xf numFmtId="167" fontId="8" fillId="3" borderId="0" xfId="109" applyNumberFormat="1" applyFont="1" applyFill="1" applyAlignment="1">
      <alignment wrapText="1"/>
    </xf>
    <xf numFmtId="167" fontId="8" fillId="39" borderId="11" xfId="109" applyNumberFormat="1" applyFont="1" applyFill="1" applyBorder="1" applyAlignment="1">
      <alignment horizontal="center" vertical="center" wrapText="1"/>
    </xf>
    <xf numFmtId="167" fontId="8" fillId="39" borderId="0" xfId="109" applyNumberFormat="1" applyFont="1" applyFill="1"/>
    <xf numFmtId="167" fontId="8" fillId="39" borderId="5" xfId="109" applyNumberFormat="1" applyFont="1" applyFill="1" applyBorder="1"/>
    <xf numFmtId="167" fontId="8" fillId="39" borderId="0" xfId="109" applyNumberFormat="1" applyFont="1" applyFill="1" applyBorder="1"/>
    <xf numFmtId="167" fontId="8" fillId="39" borderId="1" xfId="109" applyNumberFormat="1" applyFont="1" applyFill="1" applyBorder="1"/>
    <xf numFmtId="167" fontId="8" fillId="39" borderId="26" xfId="109" applyNumberFormat="1" applyFont="1" applyFill="1" applyBorder="1"/>
    <xf numFmtId="167" fontId="6" fillId="3" borderId="0" xfId="109" applyNumberFormat="1" applyFont="1" applyFill="1"/>
    <xf numFmtId="167" fontId="8" fillId="3" borderId="0" xfId="109" applyNumberFormat="1" applyFont="1" applyFill="1" applyAlignment="1">
      <alignment horizontal="right"/>
    </xf>
    <xf numFmtId="167" fontId="30" fillId="36" borderId="11" xfId="109" applyNumberFormat="1" applyFont="1" applyFill="1" applyBorder="1" applyAlignment="1">
      <alignment horizontal="center" vertical="center" wrapText="1"/>
    </xf>
    <xf numFmtId="167" fontId="10" fillId="3" borderId="0" xfId="109" applyNumberFormat="1" applyFont="1" applyFill="1"/>
    <xf numFmtId="167" fontId="10" fillId="3" borderId="5" xfId="109" applyNumberFormat="1" applyFont="1" applyFill="1" applyBorder="1"/>
    <xf numFmtId="167" fontId="10" fillId="3" borderId="0" xfId="109" applyNumberFormat="1" applyFont="1" applyFill="1" applyBorder="1"/>
    <xf numFmtId="167" fontId="8" fillId="3" borderId="1" xfId="109" applyNumberFormat="1" applyFont="1" applyFill="1" applyBorder="1"/>
    <xf numFmtId="167" fontId="8" fillId="3" borderId="0" xfId="109" applyNumberFormat="1" applyFont="1" applyFill="1" applyBorder="1"/>
    <xf numFmtId="167" fontId="8" fillId="3" borderId="26" xfId="109" applyNumberFormat="1" applyFont="1" applyFill="1" applyBorder="1"/>
    <xf numFmtId="167" fontId="12" fillId="3" borderId="0" xfId="109" applyNumberFormat="1" applyFont="1" applyFill="1"/>
    <xf numFmtId="42" fontId="10" fillId="48" borderId="0" xfId="0" applyNumberFormat="1" applyFont="1" applyFill="1"/>
    <xf numFmtId="41" fontId="10" fillId="48" borderId="0" xfId="0" applyNumberFormat="1" applyFont="1" applyFill="1"/>
    <xf numFmtId="41" fontId="10" fillId="48" borderId="0" xfId="0" applyNumberFormat="1" applyFont="1" applyFill="1" applyBorder="1"/>
    <xf numFmtId="0" fontId="47" fillId="3" borderId="0" xfId="20" quotePrefix="1" applyFont="1" applyFill="1"/>
    <xf numFmtId="167" fontId="52" fillId="3" borderId="11" xfId="109" applyNumberFormat="1" applyFont="1" applyFill="1" applyBorder="1"/>
    <xf numFmtId="0" fontId="84" fillId="0" borderId="0" xfId="0" applyFont="1"/>
    <xf numFmtId="0" fontId="33" fillId="3" borderId="0" xfId="0" applyNumberFormat="1" applyFont="1" applyFill="1" applyBorder="1" applyAlignment="1" applyProtection="1">
      <alignment horizontal="center"/>
    </xf>
    <xf numFmtId="0" fontId="33" fillId="3" borderId="0" xfId="0" applyNumberFormat="1" applyFont="1" applyFill="1" applyAlignment="1" applyProtection="1">
      <alignment horizontal="center"/>
    </xf>
    <xf numFmtId="0" fontId="66" fillId="3" borderId="0" xfId="0" applyNumberFormat="1" applyFont="1" applyFill="1" applyAlignment="1" applyProtection="1">
      <alignment horizontal="center"/>
    </xf>
    <xf numFmtId="0" fontId="33" fillId="3" borderId="0" xfId="0" applyNumberFormat="1" applyFont="1" applyFill="1" applyBorder="1" applyAlignment="1" applyProtection="1"/>
    <xf numFmtId="0" fontId="33" fillId="3" borderId="0" xfId="0" applyNumberFormat="1" applyFont="1" applyFill="1" applyAlignment="1" applyProtection="1"/>
    <xf numFmtId="44" fontId="33" fillId="3" borderId="11" xfId="32" applyFont="1" applyFill="1" applyBorder="1" applyAlignment="1" applyProtection="1">
      <alignment horizontal="center" vertical="center"/>
    </xf>
    <xf numFmtId="0" fontId="33" fillId="3" borderId="0" xfId="0" applyFont="1" applyFill="1" applyAlignment="1" applyProtection="1">
      <alignment horizontal="center" vertical="center"/>
    </xf>
    <xf numFmtId="0" fontId="66" fillId="3" borderId="0" xfId="0" applyFont="1" applyFill="1" applyAlignment="1" applyProtection="1">
      <alignment horizontal="center" vertical="center"/>
    </xf>
    <xf numFmtId="165" fontId="33" fillId="3" borderId="11" xfId="32" applyNumberFormat="1" applyFont="1" applyFill="1" applyBorder="1" applyAlignment="1" applyProtection="1">
      <alignment horizontal="center" vertical="center"/>
    </xf>
    <xf numFmtId="0" fontId="11" fillId="3" borderId="0" xfId="20" applyFont="1" applyFill="1" applyProtection="1"/>
    <xf numFmtId="0" fontId="8" fillId="3" borderId="0" xfId="20" applyFont="1" applyFill="1" applyProtection="1"/>
    <xf numFmtId="0" fontId="8" fillId="3" borderId="0" xfId="20" applyFont="1" applyFill="1" applyBorder="1" applyProtection="1"/>
    <xf numFmtId="41" fontId="8" fillId="3" borderId="0" xfId="20" applyNumberFormat="1" applyFont="1" applyFill="1" applyProtection="1"/>
    <xf numFmtId="41" fontId="8" fillId="3" borderId="0" xfId="20" applyNumberFormat="1" applyFont="1" applyFill="1" applyBorder="1" applyProtection="1"/>
    <xf numFmtId="41" fontId="8" fillId="3" borderId="0" xfId="20" applyNumberFormat="1" applyFont="1" applyFill="1" applyAlignment="1" applyProtection="1">
      <alignment wrapText="1"/>
    </xf>
    <xf numFmtId="0" fontId="6" fillId="3" borderId="0" xfId="20" applyFont="1" applyFill="1" applyAlignment="1" applyProtection="1">
      <alignment horizontal="left"/>
    </xf>
    <xf numFmtId="0" fontId="8" fillId="3" borderId="0" xfId="20" applyFont="1" applyFill="1" applyAlignment="1" applyProtection="1">
      <alignment horizontal="left"/>
    </xf>
    <xf numFmtId="0" fontId="8" fillId="3" borderId="0" xfId="20" applyFont="1" applyFill="1" applyBorder="1" applyAlignment="1" applyProtection="1">
      <alignment horizontal="left"/>
    </xf>
    <xf numFmtId="41" fontId="8" fillId="3" borderId="0" xfId="20" applyNumberFormat="1" applyFont="1" applyFill="1" applyAlignment="1" applyProtection="1">
      <alignment horizontal="right"/>
    </xf>
    <xf numFmtId="0" fontId="9" fillId="3" borderId="0" xfId="20" applyFont="1" applyFill="1" applyProtection="1"/>
    <xf numFmtId="0" fontId="10" fillId="3" borderId="0" xfId="20" applyFont="1" applyFill="1" applyProtection="1"/>
    <xf numFmtId="0" fontId="10" fillId="3" borderId="0" xfId="20" applyFont="1" applyFill="1" applyBorder="1" applyProtection="1"/>
    <xf numFmtId="41" fontId="8" fillId="3" borderId="0" xfId="20" applyNumberFormat="1" applyFont="1" applyFill="1" applyAlignment="1" applyProtection="1">
      <alignment horizontal="center"/>
    </xf>
    <xf numFmtId="41" fontId="8" fillId="3" borderId="0" xfId="20" applyNumberFormat="1" applyFont="1" applyFill="1" applyBorder="1" applyAlignment="1" applyProtection="1">
      <alignment horizontal="center"/>
    </xf>
    <xf numFmtId="41" fontId="10" fillId="3" borderId="0" xfId="20" applyNumberFormat="1" applyFont="1" applyFill="1" applyProtection="1"/>
    <xf numFmtId="0" fontId="34" fillId="3" borderId="0" xfId="0" applyFont="1" applyFill="1" applyAlignment="1" applyProtection="1">
      <alignment horizontal="right"/>
    </xf>
    <xf numFmtId="0" fontId="34" fillId="3" borderId="0" xfId="0" applyFont="1" applyFill="1" applyAlignment="1" applyProtection="1">
      <alignment horizontal="center" vertical="center"/>
    </xf>
    <xf numFmtId="0" fontId="34" fillId="3" borderId="0" xfId="0" applyFont="1" applyFill="1" applyBorder="1" applyAlignment="1" applyProtection="1">
      <alignment horizontal="center" vertical="center"/>
    </xf>
    <xf numFmtId="0" fontId="34" fillId="3" borderId="11" xfId="0" applyFont="1" applyFill="1" applyBorder="1" applyAlignment="1" applyProtection="1">
      <alignment horizontal="center" vertical="center"/>
    </xf>
    <xf numFmtId="0" fontId="33" fillId="44" borderId="0" xfId="0" applyNumberFormat="1" applyFont="1" applyFill="1" applyAlignment="1" applyProtection="1">
      <alignment horizontal="center" vertical="center"/>
    </xf>
    <xf numFmtId="41" fontId="33" fillId="44" borderId="0" xfId="0" applyNumberFormat="1" applyFont="1" applyFill="1" applyBorder="1" applyProtection="1"/>
    <xf numFmtId="41" fontId="33" fillId="3" borderId="0" xfId="0" applyNumberFormat="1" applyFont="1" applyFill="1" applyProtection="1"/>
    <xf numFmtId="41" fontId="33" fillId="44" borderId="11" xfId="0" applyNumberFormat="1" applyFont="1" applyFill="1" applyBorder="1" applyProtection="1"/>
    <xf numFmtId="0" fontId="33" fillId="3" borderId="0" xfId="0" applyNumberFormat="1" applyFont="1" applyFill="1" applyAlignment="1" applyProtection="1">
      <alignment horizontal="center" vertical="center"/>
    </xf>
    <xf numFmtId="41" fontId="33" fillId="3" borderId="0" xfId="0" applyNumberFormat="1" applyFont="1" applyFill="1" applyBorder="1" applyProtection="1"/>
    <xf numFmtId="41" fontId="33" fillId="3" borderId="11" xfId="0" applyNumberFormat="1" applyFont="1" applyFill="1" applyBorder="1" applyProtection="1"/>
    <xf numFmtId="41" fontId="33" fillId="3" borderId="1" xfId="0" applyNumberFormat="1" applyFont="1" applyFill="1" applyBorder="1" applyProtection="1"/>
    <xf numFmtId="0" fontId="34" fillId="3" borderId="0" xfId="0" applyFont="1" applyFill="1" applyAlignment="1" applyProtection="1">
      <alignment horizontal="left" indent="11"/>
    </xf>
    <xf numFmtId="41" fontId="34" fillId="3" borderId="29" xfId="0" applyNumberFormat="1" applyFont="1" applyFill="1" applyBorder="1" applyProtection="1"/>
    <xf numFmtId="41" fontId="34" fillId="3" borderId="0" xfId="0" applyNumberFormat="1" applyFont="1" applyFill="1" applyBorder="1" applyProtection="1"/>
    <xf numFmtId="41" fontId="34" fillId="3" borderId="11" xfId="0" applyNumberFormat="1" applyFont="1" applyFill="1" applyBorder="1" applyProtection="1"/>
    <xf numFmtId="0" fontId="33" fillId="3" borderId="0" xfId="0" applyFont="1" applyFill="1" applyAlignment="1" applyProtection="1">
      <alignment horizontal="left" indent="11"/>
    </xf>
    <xf numFmtId="0" fontId="33" fillId="3" borderId="11" xfId="0" applyFont="1" applyFill="1" applyBorder="1" applyProtection="1"/>
    <xf numFmtId="9" fontId="33" fillId="3" borderId="0" xfId="0" quotePrefix="1" applyNumberFormat="1" applyFont="1" applyFill="1" applyAlignment="1" applyProtection="1">
      <alignment horizontal="left" indent="11"/>
    </xf>
    <xf numFmtId="44" fontId="33" fillId="3" borderId="0" xfId="32" applyFont="1" applyFill="1" applyBorder="1" applyAlignment="1" applyProtection="1">
      <alignment horizontal="right"/>
    </xf>
    <xf numFmtId="10" fontId="33" fillId="3" borderId="11" xfId="32" applyNumberFormat="1" applyFont="1" applyFill="1" applyBorder="1" applyProtection="1"/>
    <xf numFmtId="10" fontId="33" fillId="3" borderId="0" xfId="32" applyNumberFormat="1" applyFont="1" applyFill="1" applyBorder="1" applyProtection="1"/>
    <xf numFmtId="9" fontId="33" fillId="3" borderId="0" xfId="0" applyNumberFormat="1" applyFont="1" applyFill="1" applyProtection="1"/>
    <xf numFmtId="0" fontId="37" fillId="3" borderId="0" xfId="0" applyFont="1" applyFill="1" applyProtection="1"/>
    <xf numFmtId="0" fontId="33" fillId="3" borderId="0" xfId="0" applyFont="1" applyFill="1" applyAlignment="1" applyProtection="1">
      <alignment horizontal="left" indent="1"/>
    </xf>
    <xf numFmtId="10" fontId="33" fillId="3" borderId="11" xfId="33" applyNumberFormat="1" applyFont="1" applyFill="1" applyBorder="1" applyProtection="1"/>
    <xf numFmtId="10" fontId="33" fillId="3" borderId="0" xfId="0" applyNumberFormat="1" applyFont="1" applyFill="1" applyProtection="1"/>
    <xf numFmtId="0" fontId="0" fillId="3" borderId="0" xfId="0" applyFill="1" applyProtection="1"/>
    <xf numFmtId="0" fontId="0" fillId="3" borderId="0" xfId="0" applyFill="1" applyBorder="1" applyProtection="1"/>
    <xf numFmtId="44" fontId="8" fillId="3" borderId="0" xfId="32" applyFont="1" applyFill="1" applyAlignment="1" applyProtection="1">
      <alignment wrapText="1"/>
    </xf>
    <xf numFmtId="41" fontId="8" fillId="3" borderId="0" xfId="20" applyNumberFormat="1" applyFont="1" applyFill="1" applyAlignment="1" applyProtection="1">
      <alignment horizontal="center" vertical="center" wrapText="1"/>
    </xf>
    <xf numFmtId="168" fontId="8" fillId="3" borderId="0" xfId="20" applyNumberFormat="1" applyFont="1" applyFill="1" applyAlignment="1" applyProtection="1">
      <alignment horizontal="center" wrapText="1"/>
    </xf>
    <xf numFmtId="41" fontId="8" fillId="3" borderId="0" xfId="20" applyNumberFormat="1" applyFont="1" applyFill="1" applyAlignment="1" applyProtection="1">
      <alignment horizontal="center" wrapText="1"/>
    </xf>
    <xf numFmtId="0" fontId="8" fillId="3" borderId="0" xfId="20" applyNumberFormat="1" applyFont="1" applyFill="1" applyAlignment="1" applyProtection="1">
      <alignment horizontal="center"/>
    </xf>
    <xf numFmtId="41" fontId="70" fillId="3" borderId="0" xfId="20" applyNumberFormat="1" applyFont="1" applyFill="1" applyProtection="1"/>
    <xf numFmtId="41" fontId="70" fillId="3" borderId="0" xfId="20" applyNumberFormat="1" applyFont="1" applyFill="1" applyAlignment="1" applyProtection="1">
      <alignment wrapText="1"/>
    </xf>
    <xf numFmtId="0" fontId="8" fillId="3" borderId="0" xfId="20" applyFont="1" applyFill="1" applyAlignment="1" applyProtection="1">
      <alignment horizontal="center"/>
    </xf>
    <xf numFmtId="44" fontId="8" fillId="3" borderId="0" xfId="32" applyFont="1" applyFill="1" applyProtection="1"/>
    <xf numFmtId="0" fontId="8" fillId="3" borderId="0" xfId="20" applyFont="1" applyFill="1" applyAlignment="1" applyProtection="1">
      <alignment horizontal="center" vertical="center"/>
    </xf>
    <xf numFmtId="168" fontId="8" fillId="3" borderId="0" xfId="20" applyNumberFormat="1" applyFont="1" applyFill="1" applyAlignment="1" applyProtection="1">
      <alignment horizontal="center"/>
    </xf>
    <xf numFmtId="0" fontId="70" fillId="3" borderId="0" xfId="20" applyFont="1" applyFill="1" applyProtection="1"/>
    <xf numFmtId="44" fontId="8" fillId="3" borderId="0" xfId="32" applyFont="1" applyFill="1" applyAlignment="1" applyProtection="1">
      <alignment horizontal="center"/>
    </xf>
    <xf numFmtId="41" fontId="8" fillId="3" borderId="0" xfId="20" applyNumberFormat="1" applyFont="1" applyFill="1" applyAlignment="1" applyProtection="1">
      <alignment horizontal="center" vertical="center"/>
    </xf>
    <xf numFmtId="41" fontId="10" fillId="3" borderId="0" xfId="20" applyNumberFormat="1" applyFont="1" applyFill="1" applyAlignment="1" applyProtection="1">
      <alignment horizontal="center"/>
    </xf>
    <xf numFmtId="41" fontId="70" fillId="3" borderId="0" xfId="20" applyNumberFormat="1" applyFont="1" applyFill="1" applyAlignment="1" applyProtection="1">
      <alignment horizontal="center"/>
    </xf>
    <xf numFmtId="41" fontId="10" fillId="3" borderId="0" xfId="0" applyNumberFormat="1" applyFont="1" applyFill="1" applyAlignment="1" applyProtection="1">
      <alignment horizontal="center"/>
    </xf>
    <xf numFmtId="0" fontId="71" fillId="3" borderId="0" xfId="0" applyFont="1" applyFill="1" applyProtection="1"/>
    <xf numFmtId="0" fontId="70" fillId="45" borderId="11" xfId="0" applyFont="1" applyFill="1" applyBorder="1" applyAlignment="1" applyProtection="1">
      <alignment horizontal="center" vertical="center"/>
    </xf>
    <xf numFmtId="0" fontId="33" fillId="3" borderId="0" xfId="0" applyFont="1" applyFill="1" applyAlignment="1" applyProtection="1">
      <alignment horizontal="center" vertical="center" wrapText="1"/>
    </xf>
    <xf numFmtId="168" fontId="34" fillId="35" borderId="11" xfId="0" applyNumberFormat="1" applyFont="1" applyFill="1" applyBorder="1" applyAlignment="1" applyProtection="1">
      <alignment vertical="center" wrapText="1"/>
    </xf>
    <xf numFmtId="0" fontId="68" fillId="35" borderId="11" xfId="0" applyFont="1" applyFill="1" applyBorder="1" applyAlignment="1" applyProtection="1">
      <alignment horizontal="center" vertical="center" wrapText="1"/>
    </xf>
    <xf numFmtId="41" fontId="8" fillId="35" borderId="11" xfId="0" applyNumberFormat="1" applyFont="1" applyFill="1" applyBorder="1" applyAlignment="1" applyProtection="1">
      <alignment horizontal="center" vertical="center" wrapText="1"/>
    </xf>
    <xf numFmtId="0" fontId="35" fillId="3" borderId="0" xfId="0" applyFont="1" applyFill="1" applyAlignment="1" applyProtection="1">
      <alignment horizontal="center" vertical="center"/>
    </xf>
    <xf numFmtId="44" fontId="35" fillId="3" borderId="0" xfId="32" applyFont="1" applyFill="1" applyAlignment="1" applyProtection="1">
      <alignment horizontal="center" vertical="center"/>
    </xf>
    <xf numFmtId="168" fontId="35" fillId="3" borderId="0" xfId="0" applyNumberFormat="1" applyFont="1" applyFill="1" applyAlignment="1" applyProtection="1">
      <alignment horizontal="center" vertical="center"/>
    </xf>
    <xf numFmtId="0" fontId="68" fillId="3" borderId="0" xfId="0" applyFont="1" applyFill="1" applyAlignment="1" applyProtection="1">
      <alignment horizontal="center" vertical="center"/>
    </xf>
    <xf numFmtId="41" fontId="35" fillId="3" borderId="0" xfId="0" applyNumberFormat="1" applyFont="1" applyFill="1" applyAlignment="1" applyProtection="1">
      <alignment horizontal="center" vertical="center"/>
    </xf>
    <xf numFmtId="0" fontId="35" fillId="3" borderId="0" xfId="0" applyNumberFormat="1" applyFont="1" applyFill="1" applyAlignment="1" applyProtection="1">
      <alignment horizontal="center" vertical="center"/>
    </xf>
    <xf numFmtId="10" fontId="35" fillId="49" borderId="0" xfId="0" applyNumberFormat="1" applyFont="1" applyFill="1" applyAlignment="1" applyProtection="1">
      <alignment horizontal="center" vertical="center"/>
    </xf>
    <xf numFmtId="10" fontId="35" fillId="3" borderId="0" xfId="0" applyNumberFormat="1" applyFont="1" applyFill="1" applyAlignment="1" applyProtection="1">
      <alignment horizontal="center" vertical="center"/>
    </xf>
    <xf numFmtId="0" fontId="68" fillId="3" borderId="0" xfId="0" applyFont="1" applyFill="1" applyProtection="1"/>
    <xf numFmtId="0" fontId="34" fillId="47" borderId="11" xfId="0" applyFont="1" applyFill="1" applyBorder="1" applyAlignment="1" applyProtection="1">
      <alignment horizontal="center"/>
    </xf>
    <xf numFmtId="44" fontId="34" fillId="47" borderId="11" xfId="32" applyFont="1" applyFill="1" applyBorder="1" applyAlignment="1" applyProtection="1">
      <alignment horizontal="center"/>
    </xf>
    <xf numFmtId="168" fontId="34" fillId="47" borderId="11" xfId="32" applyNumberFormat="1" applyFont="1" applyFill="1" applyBorder="1" applyAlignment="1" applyProtection="1">
      <alignment horizontal="center"/>
    </xf>
    <xf numFmtId="0" fontId="33" fillId="3" borderId="11" xfId="0" applyNumberFormat="1" applyFont="1" applyFill="1" applyBorder="1" applyAlignment="1" applyProtection="1">
      <alignment horizontal="center"/>
    </xf>
    <xf numFmtId="42" fontId="34" fillId="47" borderId="11" xfId="0" applyNumberFormat="1" applyFont="1" applyFill="1" applyBorder="1" applyAlignment="1" applyProtection="1">
      <alignment horizontal="center"/>
    </xf>
    <xf numFmtId="0" fontId="33" fillId="47" borderId="11" xfId="0" applyFont="1" applyFill="1" applyBorder="1" applyAlignment="1" applyProtection="1">
      <alignment horizontal="center"/>
    </xf>
    <xf numFmtId="42" fontId="68" fillId="3" borderId="11" xfId="0" applyNumberFormat="1" applyFont="1" applyFill="1" applyBorder="1" applyProtection="1"/>
    <xf numFmtId="41" fontId="10" fillId="3" borderId="11" xfId="0" applyNumberFormat="1" applyFont="1" applyFill="1" applyBorder="1" applyProtection="1"/>
    <xf numFmtId="42" fontId="33" fillId="3" borderId="11" xfId="0" applyNumberFormat="1" applyFont="1" applyFill="1" applyBorder="1" applyProtection="1"/>
    <xf numFmtId="0" fontId="33" fillId="3" borderId="11" xfId="0" applyFont="1" applyFill="1" applyBorder="1" applyAlignment="1" applyProtection="1">
      <alignment horizontal="center"/>
    </xf>
    <xf numFmtId="44" fontId="71" fillId="3" borderId="0" xfId="0" applyNumberFormat="1" applyFont="1" applyFill="1" applyProtection="1"/>
    <xf numFmtId="0" fontId="33" fillId="3" borderId="0" xfId="0" applyFont="1" applyFill="1" applyBorder="1" applyAlignment="1" applyProtection="1">
      <alignment horizontal="center" vertical="center"/>
    </xf>
    <xf numFmtId="168" fontId="33" fillId="3" borderId="0" xfId="0" applyNumberFormat="1" applyFont="1" applyFill="1" applyBorder="1" applyAlignment="1" applyProtection="1">
      <alignment horizontal="center"/>
    </xf>
    <xf numFmtId="42" fontId="68" fillId="3" borderId="0" xfId="0" applyNumberFormat="1" applyFont="1" applyFill="1" applyBorder="1" applyProtection="1"/>
    <xf numFmtId="41" fontId="10" fillId="3" borderId="0" xfId="0" applyNumberFormat="1" applyFont="1" applyFill="1" applyBorder="1" applyAlignment="1" applyProtection="1">
      <alignment horizontal="center"/>
    </xf>
    <xf numFmtId="42" fontId="33" fillId="3" borderId="0" xfId="0" applyNumberFormat="1" applyFont="1" applyFill="1" applyBorder="1" applyProtection="1"/>
    <xf numFmtId="0" fontId="34" fillId="3" borderId="0" xfId="0" applyFont="1" applyFill="1" applyBorder="1" applyAlignment="1" applyProtection="1">
      <alignment horizontal="center"/>
    </xf>
    <xf numFmtId="44" fontId="34" fillId="3" borderId="0" xfId="32" applyFont="1" applyFill="1" applyBorder="1" applyAlignment="1" applyProtection="1">
      <alignment horizontal="center"/>
    </xf>
    <xf numFmtId="0" fontId="34" fillId="3" borderId="4" xfId="0" applyNumberFormat="1" applyFont="1" applyFill="1" applyBorder="1" applyAlignment="1" applyProtection="1">
      <alignment horizontal="center"/>
    </xf>
    <xf numFmtId="42" fontId="34" fillId="3" borderId="7" xfId="32" applyNumberFormat="1" applyFont="1" applyFill="1" applyBorder="1" applyProtection="1"/>
    <xf numFmtId="0" fontId="34" fillId="3" borderId="4" xfId="0" applyFont="1" applyFill="1" applyBorder="1" applyAlignment="1" applyProtection="1">
      <alignment horizontal="center"/>
    </xf>
    <xf numFmtId="42" fontId="71" fillId="3" borderId="0" xfId="0" applyNumberFormat="1" applyFont="1" applyFill="1" applyProtection="1"/>
    <xf numFmtId="1" fontId="33" fillId="3" borderId="0" xfId="0" applyNumberFormat="1" applyFont="1" applyFill="1" applyAlignment="1" applyProtection="1">
      <alignment horizontal="center" vertical="center"/>
    </xf>
    <xf numFmtId="1" fontId="33" fillId="3" borderId="0" xfId="0" applyNumberFormat="1" applyFont="1" applyFill="1" applyBorder="1" applyAlignment="1" applyProtection="1">
      <alignment horizontal="center" vertical="center"/>
    </xf>
    <xf numFmtId="1" fontId="81" fillId="47" borderId="11" xfId="0" applyNumberFormat="1" applyFont="1" applyFill="1" applyBorder="1" applyAlignment="1" applyProtection="1">
      <alignment horizontal="center" vertical="center"/>
    </xf>
    <xf numFmtId="1" fontId="81" fillId="35" borderId="11" xfId="0" applyNumberFormat="1" applyFont="1" applyFill="1" applyBorder="1" applyAlignment="1" applyProtection="1">
      <alignment horizontal="center" vertical="center"/>
    </xf>
    <xf numFmtId="1" fontId="82" fillId="47" borderId="11" xfId="0" applyNumberFormat="1" applyFont="1" applyFill="1" applyBorder="1" applyAlignment="1" applyProtection="1">
      <alignment horizontal="center" vertical="center"/>
    </xf>
    <xf numFmtId="0" fontId="33" fillId="47" borderId="11" xfId="0" applyFont="1" applyFill="1" applyBorder="1" applyProtection="1"/>
    <xf numFmtId="44" fontId="33" fillId="47" borderId="11" xfId="32" applyFont="1" applyFill="1" applyBorder="1" applyProtection="1"/>
    <xf numFmtId="41" fontId="10" fillId="47" borderId="11" xfId="0" applyNumberFormat="1" applyFont="1" applyFill="1" applyBorder="1" applyProtection="1"/>
    <xf numFmtId="0" fontId="34" fillId="3" borderId="0" xfId="0" applyFont="1" applyFill="1" applyBorder="1" applyProtection="1"/>
    <xf numFmtId="44" fontId="34" fillId="3" borderId="0" xfId="32" applyFont="1" applyFill="1" applyBorder="1" applyProtection="1"/>
    <xf numFmtId="168" fontId="34" fillId="3" borderId="0" xfId="0" applyNumberFormat="1" applyFont="1" applyFill="1" applyBorder="1" applyAlignment="1" applyProtection="1">
      <alignment horizontal="center"/>
    </xf>
    <xf numFmtId="42" fontId="34" fillId="3" borderId="0" xfId="0" applyNumberFormat="1" applyFont="1" applyFill="1" applyBorder="1" applyProtection="1"/>
    <xf numFmtId="0" fontId="34" fillId="3" borderId="0" xfId="0" applyNumberFormat="1" applyFont="1" applyFill="1" applyBorder="1" applyAlignment="1" applyProtection="1">
      <alignment horizontal="center"/>
    </xf>
    <xf numFmtId="41" fontId="8" fillId="3" borderId="0" xfId="0" applyNumberFormat="1" applyFont="1" applyFill="1" applyBorder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44" fontId="0" fillId="3" borderId="0" xfId="32" applyFont="1" applyFill="1" applyProtection="1"/>
    <xf numFmtId="0" fontId="0" fillId="3" borderId="0" xfId="0" applyFill="1" applyAlignment="1" applyProtection="1">
      <alignment horizontal="center" vertical="center"/>
    </xf>
    <xf numFmtId="168" fontId="0" fillId="3" borderId="0" xfId="0" applyNumberFormat="1" applyFill="1" applyAlignment="1" applyProtection="1">
      <alignment horizontal="center"/>
    </xf>
    <xf numFmtId="41" fontId="12" fillId="3" borderId="0" xfId="0" applyNumberFormat="1" applyFont="1" applyFill="1" applyProtection="1"/>
    <xf numFmtId="0" fontId="0" fillId="3" borderId="0" xfId="0" applyNumberFormat="1" applyFill="1" applyAlignment="1" applyProtection="1">
      <alignment horizontal="center"/>
    </xf>
    <xf numFmtId="0" fontId="33" fillId="35" borderId="0" xfId="0" applyNumberFormat="1" applyFont="1" applyFill="1" applyAlignment="1" applyProtection="1">
      <alignment horizontal="center"/>
    </xf>
    <xf numFmtId="0" fontId="33" fillId="35" borderId="0" xfId="0" applyFont="1" applyFill="1" applyProtection="1"/>
    <xf numFmtId="0" fontId="0" fillId="35" borderId="0" xfId="0" applyFill="1" applyProtection="1"/>
    <xf numFmtId="44" fontId="0" fillId="35" borderId="0" xfId="32" applyFont="1" applyFill="1" applyProtection="1"/>
    <xf numFmtId="0" fontId="0" fillId="35" borderId="0" xfId="0" applyFill="1" applyAlignment="1" applyProtection="1">
      <alignment horizontal="center" vertical="center"/>
    </xf>
    <xf numFmtId="168" fontId="0" fillId="35" borderId="0" xfId="0" applyNumberFormat="1" applyFill="1" applyAlignment="1" applyProtection="1">
      <alignment horizontal="center"/>
    </xf>
    <xf numFmtId="41" fontId="10" fillId="35" borderId="0" xfId="32" applyNumberFormat="1" applyFont="1" applyFill="1" applyBorder="1" applyProtection="1"/>
    <xf numFmtId="165" fontId="33" fillId="35" borderId="0" xfId="32" applyNumberFormat="1" applyFont="1" applyFill="1" applyBorder="1" applyProtection="1"/>
    <xf numFmtId="0" fontId="33" fillId="35" borderId="0" xfId="0" applyNumberFormat="1" applyFont="1" applyFill="1" applyAlignment="1" applyProtection="1"/>
    <xf numFmtId="165" fontId="33" fillId="35" borderId="0" xfId="0" applyNumberFormat="1" applyFont="1" applyFill="1" applyBorder="1" applyProtection="1"/>
    <xf numFmtId="165" fontId="33" fillId="35" borderId="0" xfId="0" applyNumberFormat="1" applyFont="1" applyFill="1" applyBorder="1" applyAlignment="1" applyProtection="1">
      <alignment horizontal="center"/>
    </xf>
    <xf numFmtId="41" fontId="33" fillId="35" borderId="0" xfId="32" applyNumberFormat="1" applyFont="1" applyFill="1" applyBorder="1" applyProtection="1"/>
    <xf numFmtId="41" fontId="33" fillId="35" borderId="0" xfId="0" applyNumberFormat="1" applyFont="1" applyFill="1" applyBorder="1" applyProtection="1"/>
    <xf numFmtId="41" fontId="33" fillId="35" borderId="0" xfId="0" applyNumberFormat="1" applyFont="1" applyFill="1" applyBorder="1" applyAlignment="1" applyProtection="1">
      <alignment horizontal="center"/>
    </xf>
    <xf numFmtId="0" fontId="33" fillId="35" borderId="0" xfId="0" applyFont="1" applyFill="1" applyAlignment="1" applyProtection="1">
      <alignment horizontal="center"/>
    </xf>
    <xf numFmtId="0" fontId="34" fillId="35" borderId="0" xfId="0" applyFont="1" applyFill="1" applyProtection="1"/>
    <xf numFmtId="41" fontId="34" fillId="35" borderId="0" xfId="32" applyNumberFormat="1" applyFont="1" applyFill="1" applyBorder="1" applyProtection="1"/>
    <xf numFmtId="41" fontId="0" fillId="3" borderId="0" xfId="0" applyNumberFormat="1" applyFill="1" applyProtection="1"/>
    <xf numFmtId="169" fontId="33" fillId="3" borderId="0" xfId="32" applyNumberFormat="1" applyFont="1" applyFill="1" applyBorder="1" applyProtection="1"/>
    <xf numFmtId="41" fontId="33" fillId="3" borderId="0" xfId="32" applyNumberFormat="1" applyFont="1" applyFill="1" applyBorder="1" applyProtection="1"/>
    <xf numFmtId="41" fontId="33" fillId="3" borderId="0" xfId="0" applyNumberFormat="1" applyFont="1" applyFill="1" applyBorder="1" applyAlignment="1" applyProtection="1">
      <alignment horizontal="center"/>
    </xf>
    <xf numFmtId="41" fontId="34" fillId="3" borderId="0" xfId="32" applyNumberFormat="1" applyFont="1" applyFill="1" applyBorder="1" applyProtection="1"/>
    <xf numFmtId="165" fontId="33" fillId="3" borderId="0" xfId="32" applyNumberFormat="1" applyFont="1" applyFill="1" applyBorder="1" applyProtection="1"/>
    <xf numFmtId="165" fontId="33" fillId="3" borderId="0" xfId="0" applyNumberFormat="1" applyFont="1" applyFill="1" applyBorder="1" applyProtection="1"/>
    <xf numFmtId="165" fontId="33" fillId="3" borderId="0" xfId="0" applyNumberFormat="1" applyFont="1" applyFill="1" applyBorder="1" applyAlignment="1" applyProtection="1">
      <alignment horizontal="center"/>
    </xf>
    <xf numFmtId="169" fontId="33" fillId="35" borderId="0" xfId="32" applyNumberFormat="1" applyFont="1" applyFill="1" applyBorder="1" applyProtection="1"/>
    <xf numFmtId="169" fontId="12" fillId="3" borderId="0" xfId="0" applyNumberFormat="1" applyFont="1" applyFill="1" applyAlignment="1" applyProtection="1">
      <alignment horizontal="center"/>
    </xf>
    <xf numFmtId="41" fontId="12" fillId="3" borderId="0" xfId="0" applyNumberFormat="1" applyFont="1" applyFill="1" applyAlignment="1" applyProtection="1">
      <alignment horizontal="center"/>
    </xf>
    <xf numFmtId="0" fontId="72" fillId="3" borderId="0" xfId="0" applyFont="1" applyFill="1" applyProtection="1"/>
    <xf numFmtId="44" fontId="33" fillId="0" borderId="11" xfId="32" applyFont="1" applyFill="1" applyBorder="1" applyProtection="1"/>
    <xf numFmtId="0" fontId="33" fillId="0" borderId="11" xfId="0" applyFont="1" applyFill="1" applyBorder="1" applyProtection="1"/>
    <xf numFmtId="41" fontId="33" fillId="50" borderId="11" xfId="0" applyNumberFormat="1" applyFont="1" applyFill="1" applyBorder="1" applyProtection="1">
      <protection locked="0"/>
    </xf>
    <xf numFmtId="0" fontId="33" fillId="50" borderId="11" xfId="0" applyFont="1" applyFill="1" applyBorder="1" applyProtection="1">
      <protection locked="0"/>
    </xf>
    <xf numFmtId="44" fontId="33" fillId="50" borderId="11" xfId="32" applyFont="1" applyFill="1" applyBorder="1" applyProtection="1">
      <protection locked="0"/>
    </xf>
    <xf numFmtId="44" fontId="33" fillId="50" borderId="11" xfId="32" applyFont="1" applyFill="1" applyBorder="1" applyAlignment="1" applyProtection="1">
      <alignment horizontal="center" vertical="center"/>
      <protection locked="0"/>
    </xf>
    <xf numFmtId="0" fontId="33" fillId="50" borderId="11" xfId="0" applyFont="1" applyFill="1" applyBorder="1" applyAlignment="1" applyProtection="1">
      <alignment horizontal="center"/>
      <protection locked="0"/>
    </xf>
    <xf numFmtId="0" fontId="33" fillId="0" borderId="11" xfId="0" applyFont="1" applyFill="1" applyBorder="1" applyProtection="1">
      <protection locked="0"/>
    </xf>
    <xf numFmtId="44" fontId="33" fillId="0" borderId="11" xfId="32" applyFont="1" applyFill="1" applyBorder="1" applyProtection="1">
      <protection locked="0"/>
    </xf>
    <xf numFmtId="44" fontId="33" fillId="0" borderId="11" xfId="32" applyFont="1" applyFill="1" applyBorder="1" applyAlignment="1" applyProtection="1">
      <alignment horizontal="center" vertical="center"/>
      <protection locked="0"/>
    </xf>
    <xf numFmtId="0" fontId="33" fillId="0" borderId="11" xfId="0" applyFont="1" applyFill="1" applyBorder="1" applyAlignment="1" applyProtection="1">
      <alignment horizontal="center"/>
      <protection locked="0"/>
    </xf>
    <xf numFmtId="42" fontId="68" fillId="0" borderId="11" xfId="0" applyNumberFormat="1" applyFont="1" applyFill="1" applyBorder="1" applyProtection="1"/>
    <xf numFmtId="41" fontId="10" fillId="0" borderId="11" xfId="0" applyNumberFormat="1" applyFont="1" applyFill="1" applyBorder="1" applyProtection="1"/>
    <xf numFmtId="42" fontId="34" fillId="3" borderId="11" xfId="32" applyNumberFormat="1" applyFont="1" applyFill="1" applyBorder="1" applyProtection="1"/>
    <xf numFmtId="0" fontId="34" fillId="3" borderId="11" xfId="0" applyFont="1" applyFill="1" applyBorder="1" applyAlignment="1" applyProtection="1">
      <alignment horizontal="center"/>
    </xf>
    <xf numFmtId="0" fontId="34" fillId="3" borderId="11" xfId="0" applyNumberFormat="1" applyFont="1" applyFill="1" applyBorder="1" applyAlignment="1" applyProtection="1">
      <alignment horizontal="center"/>
    </xf>
    <xf numFmtId="0" fontId="34" fillId="0" borderId="11" xfId="0" applyNumberFormat="1" applyFont="1" applyFill="1" applyBorder="1" applyAlignment="1" applyProtection="1">
      <alignment horizontal="center"/>
    </xf>
    <xf numFmtId="42" fontId="34" fillId="0" borderId="11" xfId="32" applyNumberFormat="1" applyFont="1" applyFill="1" applyBorder="1" applyProtection="1"/>
    <xf numFmtId="0" fontId="34" fillId="0" borderId="11" xfId="0" applyFont="1" applyFill="1" applyBorder="1" applyAlignment="1" applyProtection="1">
      <alignment horizontal="center"/>
    </xf>
    <xf numFmtId="44" fontId="8" fillId="3" borderId="0" xfId="32" applyFont="1" applyFill="1"/>
    <xf numFmtId="44" fontId="8" fillId="3" borderId="0" xfId="32" applyFont="1" applyFill="1" applyAlignment="1">
      <alignment horizontal="center"/>
    </xf>
    <xf numFmtId="44" fontId="33" fillId="3" borderId="0" xfId="32" applyFont="1" applyFill="1"/>
    <xf numFmtId="44" fontId="34" fillId="35" borderId="11" xfId="32" applyFont="1" applyFill="1" applyBorder="1" applyAlignment="1">
      <alignment horizontal="center" vertical="center"/>
    </xf>
    <xf numFmtId="44" fontId="33" fillId="3" borderId="11" xfId="32" applyFont="1" applyFill="1" applyBorder="1"/>
    <xf numFmtId="44" fontId="33" fillId="3" borderId="0" xfId="32" applyFont="1" applyFill="1" applyBorder="1"/>
    <xf numFmtId="44" fontId="34" fillId="3" borderId="13" xfId="32" applyFont="1" applyFill="1" applyBorder="1"/>
    <xf numFmtId="44" fontId="0" fillId="3" borderId="0" xfId="32" applyFont="1" applyFill="1"/>
    <xf numFmtId="0" fontId="8" fillId="3" borderId="0" xfId="32" applyNumberFormat="1" applyFont="1" applyFill="1"/>
    <xf numFmtId="0" fontId="8" fillId="3" borderId="0" xfId="32" applyNumberFormat="1" applyFont="1" applyFill="1" applyAlignment="1">
      <alignment horizontal="center"/>
    </xf>
    <xf numFmtId="0" fontId="33" fillId="3" borderId="0" xfId="32" applyNumberFormat="1" applyFont="1" applyFill="1"/>
    <xf numFmtId="0" fontId="34" fillId="35" borderId="11" xfId="32" applyNumberFormat="1" applyFont="1" applyFill="1" applyBorder="1" applyAlignment="1">
      <alignment horizontal="center" vertical="center"/>
    </xf>
    <xf numFmtId="0" fontId="33" fillId="3" borderId="0" xfId="32" applyNumberFormat="1" applyFont="1" applyFill="1" applyBorder="1"/>
    <xf numFmtId="0" fontId="30" fillId="40" borderId="12" xfId="32" applyNumberFormat="1" applyFont="1" applyFill="1" applyBorder="1" applyAlignment="1">
      <alignment horizontal="center"/>
    </xf>
    <xf numFmtId="0" fontId="0" fillId="3" borderId="0" xfId="32" applyNumberFormat="1" applyFont="1" applyFill="1"/>
    <xf numFmtId="49" fontId="33" fillId="50" borderId="11" xfId="0" quotePrefix="1" applyNumberFormat="1" applyFont="1" applyFill="1" applyBorder="1" applyAlignment="1" applyProtection="1">
      <alignment horizontal="center"/>
      <protection locked="0"/>
    </xf>
    <xf numFmtId="49" fontId="33" fillId="50" borderId="11" xfId="0" applyNumberFormat="1" applyFont="1" applyFill="1" applyBorder="1" applyProtection="1">
      <protection locked="0"/>
    </xf>
    <xf numFmtId="167" fontId="33" fillId="50" borderId="11" xfId="109" applyNumberFormat="1" applyFont="1" applyFill="1" applyBorder="1" applyProtection="1">
      <protection locked="0"/>
    </xf>
    <xf numFmtId="49" fontId="33" fillId="44" borderId="11" xfId="0" applyNumberFormat="1" applyFont="1" applyFill="1" applyBorder="1"/>
    <xf numFmtId="167" fontId="33" fillId="44" borderId="11" xfId="109" applyNumberFormat="1" applyFont="1" applyFill="1" applyBorder="1"/>
    <xf numFmtId="49" fontId="33" fillId="3" borderId="11" xfId="0" quotePrefix="1" applyNumberFormat="1" applyFont="1" applyFill="1" applyBorder="1" applyAlignment="1" applyProtection="1">
      <alignment horizontal="center"/>
    </xf>
    <xf numFmtId="49" fontId="33" fillId="3" borderId="11" xfId="0" applyNumberFormat="1" applyFont="1" applyFill="1" applyBorder="1" applyProtection="1"/>
    <xf numFmtId="167" fontId="33" fillId="3" borderId="11" xfId="109" applyNumberFormat="1" applyFont="1" applyFill="1" applyBorder="1" applyProtection="1"/>
    <xf numFmtId="44" fontId="33" fillId="3" borderId="11" xfId="32" applyFont="1" applyFill="1" applyBorder="1" applyProtection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7" fontId="85" fillId="39" borderId="5" xfId="109" applyNumberFormat="1" applyFont="1" applyFill="1" applyBorder="1"/>
    <xf numFmtId="169" fontId="8" fillId="3" borderId="0" xfId="20" applyNumberFormat="1" applyFont="1" applyFill="1" applyAlignment="1" applyProtection="1">
      <alignment wrapText="1"/>
    </xf>
    <xf numFmtId="169" fontId="8" fillId="3" borderId="0" xfId="20" applyNumberFormat="1" applyFont="1" applyFill="1" applyProtection="1"/>
    <xf numFmtId="169" fontId="33" fillId="3" borderId="0" xfId="0" applyNumberFormat="1" applyFont="1" applyFill="1" applyProtection="1"/>
    <xf numFmtId="169" fontId="30" fillId="40" borderId="11" xfId="0" applyNumberFormat="1" applyFont="1" applyFill="1" applyBorder="1" applyAlignment="1" applyProtection="1">
      <alignment horizontal="center" vertical="center" wrapText="1"/>
    </xf>
    <xf numFmtId="169" fontId="35" fillId="3" borderId="0" xfId="0" applyNumberFormat="1" applyFont="1" applyFill="1" applyAlignment="1" applyProtection="1">
      <alignment horizontal="center" vertical="center"/>
    </xf>
    <xf numFmtId="169" fontId="33" fillId="35" borderId="11" xfId="0" applyNumberFormat="1" applyFont="1" applyFill="1" applyBorder="1" applyProtection="1"/>
    <xf numFmtId="169" fontId="33" fillId="50" borderId="11" xfId="0" applyNumberFormat="1" applyFont="1" applyFill="1" applyBorder="1" applyProtection="1">
      <protection locked="0"/>
    </xf>
    <xf numFmtId="169" fontId="33" fillId="0" borderId="11" xfId="0" applyNumberFormat="1" applyFont="1" applyFill="1" applyBorder="1" applyProtection="1">
      <protection locked="0"/>
    </xf>
    <xf numFmtId="169" fontId="33" fillId="3" borderId="0" xfId="0" applyNumberFormat="1" applyFont="1" applyFill="1" applyBorder="1" applyProtection="1"/>
    <xf numFmtId="169" fontId="34" fillId="3" borderId="0" xfId="0" applyNumberFormat="1" applyFont="1" applyFill="1" applyBorder="1" applyProtection="1"/>
    <xf numFmtId="169" fontId="34" fillId="3" borderId="0" xfId="0" applyNumberFormat="1" applyFont="1" applyFill="1" applyBorder="1" applyAlignment="1" applyProtection="1">
      <alignment horizontal="center"/>
    </xf>
    <xf numFmtId="169" fontId="34" fillId="3" borderId="0" xfId="0" applyNumberFormat="1" applyFont="1" applyFill="1" applyProtection="1"/>
    <xf numFmtId="169" fontId="33" fillId="3" borderId="0" xfId="33" applyNumberFormat="1" applyFont="1" applyFill="1" applyBorder="1" applyProtection="1"/>
    <xf numFmtId="169" fontId="66" fillId="3" borderId="0" xfId="0" applyNumberFormat="1" applyFont="1" applyFill="1" applyAlignment="1" applyProtection="1">
      <alignment horizontal="right"/>
    </xf>
    <xf numFmtId="169" fontId="0" fillId="3" borderId="0" xfId="0" applyNumberFormat="1" applyFill="1" applyProtection="1"/>
    <xf numFmtId="49" fontId="33" fillId="0" borderId="11" xfId="0" quotePrefix="1" applyNumberFormat="1" applyFont="1" applyBorder="1" applyAlignment="1" applyProtection="1">
      <alignment horizontal="center"/>
      <protection locked="0"/>
    </xf>
    <xf numFmtId="49" fontId="33" fillId="0" borderId="11" xfId="0" applyNumberFormat="1" applyFont="1" applyBorder="1" applyProtection="1">
      <protection locked="0"/>
    </xf>
    <xf numFmtId="167" fontId="33" fillId="0" borderId="11" xfId="109" applyNumberFormat="1" applyFont="1" applyFill="1" applyBorder="1" applyProtection="1">
      <protection locked="0"/>
    </xf>
    <xf numFmtId="49" fontId="33" fillId="0" borderId="11" xfId="0" quotePrefix="1" applyNumberFormat="1" applyFont="1" applyBorder="1" applyAlignment="1">
      <alignment horizontal="center"/>
    </xf>
    <xf numFmtId="49" fontId="33" fillId="0" borderId="11" xfId="0" applyNumberFormat="1" applyFont="1" applyBorder="1"/>
    <xf numFmtId="43" fontId="9" fillId="43" borderId="30" xfId="20" applyNumberFormat="1" applyFont="1" applyFill="1" applyBorder="1" applyAlignment="1">
      <alignment horizontal="right"/>
    </xf>
    <xf numFmtId="9" fontId="9" fillId="43" borderId="30" xfId="33" applyFont="1" applyFill="1" applyBorder="1" applyAlignment="1">
      <alignment horizontal="right"/>
    </xf>
    <xf numFmtId="164" fontId="30" fillId="51" borderId="11" xfId="20" applyNumberFormat="1" applyFont="1" applyFill="1" applyBorder="1" applyAlignment="1">
      <alignment horizontal="center" vertical="center" wrapText="1"/>
    </xf>
    <xf numFmtId="9" fontId="9" fillId="43" borderId="30" xfId="33" applyNumberFormat="1" applyFont="1" applyFill="1" applyBorder="1" applyAlignment="1">
      <alignment horizontal="right"/>
    </xf>
    <xf numFmtId="167" fontId="9" fillId="43" borderId="31" xfId="20" applyNumberFormat="1" applyFont="1" applyFill="1" applyBorder="1" applyAlignment="1">
      <alignment horizontal="right"/>
    </xf>
    <xf numFmtId="167" fontId="9" fillId="43" borderId="10" xfId="20" applyNumberFormat="1" applyFont="1" applyFill="1" applyBorder="1" applyAlignment="1">
      <alignment horizontal="right"/>
    </xf>
    <xf numFmtId="9" fontId="9" fillId="43" borderId="28" xfId="33" applyNumberFormat="1" applyFont="1" applyFill="1" applyBorder="1" applyAlignment="1">
      <alignment horizontal="right"/>
    </xf>
    <xf numFmtId="43" fontId="9" fillId="43" borderId="28" xfId="20" applyNumberFormat="1" applyFont="1" applyFill="1" applyBorder="1" applyAlignment="1">
      <alignment horizontal="right"/>
    </xf>
    <xf numFmtId="0" fontId="47" fillId="43" borderId="32" xfId="20" applyFont="1" applyFill="1" applyBorder="1"/>
    <xf numFmtId="41" fontId="48" fillId="43" borderId="27" xfId="20" applyNumberFormat="1" applyFont="1" applyFill="1" applyBorder="1" applyAlignment="1">
      <alignment horizontal="right"/>
    </xf>
    <xf numFmtId="0" fontId="33" fillId="3" borderId="11" xfId="32" applyNumberFormat="1" applyFont="1" applyFill="1" applyBorder="1" applyProtection="1"/>
    <xf numFmtId="168" fontId="33" fillId="0" borderId="11" xfId="0" applyNumberFormat="1" applyFont="1" applyFill="1" applyBorder="1" applyAlignment="1" applyProtection="1">
      <alignment horizontal="center"/>
      <protection locked="0"/>
    </xf>
    <xf numFmtId="49" fontId="67" fillId="44" borderId="11" xfId="0" quotePrefix="1" applyNumberFormat="1" applyFont="1" applyFill="1" applyBorder="1" applyAlignment="1">
      <alignment horizontal="center"/>
    </xf>
    <xf numFmtId="44" fontId="8" fillId="3" borderId="0" xfId="32" applyNumberFormat="1" applyFont="1" applyFill="1" applyAlignment="1">
      <alignment horizontal="center"/>
    </xf>
    <xf numFmtId="44" fontId="8" fillId="3" borderId="0" xfId="32" applyNumberFormat="1" applyFont="1" applyFill="1"/>
    <xf numFmtId="0" fontId="33" fillId="3" borderId="0" xfId="32" applyNumberFormat="1" applyFont="1" applyFill="1" applyAlignment="1">
      <alignment horizontal="center"/>
    </xf>
    <xf numFmtId="165" fontId="10" fillId="44" borderId="11" xfId="32" applyNumberFormat="1" applyFont="1" applyFill="1" applyBorder="1" applyAlignment="1" applyProtection="1">
      <alignment horizontal="center"/>
    </xf>
    <xf numFmtId="165" fontId="10" fillId="44" borderId="11" xfId="32" applyNumberFormat="1" applyFont="1" applyFill="1" applyBorder="1" applyProtection="1"/>
    <xf numFmtId="165" fontId="33" fillId="3" borderId="11" xfId="32" applyNumberFormat="1" applyFont="1" applyFill="1" applyBorder="1"/>
    <xf numFmtId="165" fontId="33" fillId="50" borderId="11" xfId="32" applyNumberFormat="1" applyFont="1" applyFill="1" applyBorder="1" applyAlignment="1" applyProtection="1">
      <alignment horizontal="center"/>
      <protection locked="0"/>
    </xf>
    <xf numFmtId="165" fontId="33" fillId="50" borderId="11" xfId="32" applyNumberFormat="1" applyFont="1" applyFill="1" applyBorder="1" applyProtection="1">
      <protection locked="0"/>
    </xf>
    <xf numFmtId="0" fontId="33" fillId="3" borderId="0" xfId="32" applyNumberFormat="1" applyFont="1" applyFill="1" applyBorder="1" applyAlignment="1">
      <alignment horizontal="center"/>
    </xf>
    <xf numFmtId="165" fontId="33" fillId="3" borderId="0" xfId="32" applyNumberFormat="1" applyFont="1" applyFill="1" applyBorder="1"/>
    <xf numFmtId="165" fontId="34" fillId="3" borderId="0" xfId="32" applyNumberFormat="1" applyFont="1" applyFill="1" applyBorder="1" applyAlignment="1">
      <alignment horizontal="center"/>
    </xf>
    <xf numFmtId="165" fontId="34" fillId="3" borderId="38" xfId="32" applyNumberFormat="1" applyFont="1" applyFill="1" applyBorder="1"/>
    <xf numFmtId="165" fontId="34" fillId="3" borderId="13" xfId="32" applyNumberFormat="1" applyFont="1" applyFill="1" applyBorder="1"/>
    <xf numFmtId="165" fontId="34" fillId="3" borderId="13" xfId="32" applyNumberFormat="1" applyFont="1" applyFill="1" applyBorder="1" applyAlignment="1">
      <alignment horizontal="center"/>
    </xf>
    <xf numFmtId="165" fontId="33" fillId="3" borderId="13" xfId="32" applyNumberFormat="1" applyFont="1" applyFill="1" applyBorder="1" applyAlignment="1">
      <alignment horizontal="center"/>
    </xf>
    <xf numFmtId="165" fontId="33" fillId="0" borderId="11" xfId="32" applyNumberFormat="1" applyFont="1" applyFill="1" applyBorder="1" applyAlignment="1" applyProtection="1">
      <alignment horizontal="center"/>
      <protection locked="0"/>
    </xf>
    <xf numFmtId="165" fontId="33" fillId="0" borderId="11" xfId="32" applyNumberFormat="1" applyFont="1" applyFill="1" applyBorder="1" applyProtection="1">
      <protection locked="0"/>
    </xf>
    <xf numFmtId="165" fontId="33" fillId="0" borderId="11" xfId="32" applyNumberFormat="1" applyFont="1" applyFill="1" applyBorder="1"/>
    <xf numFmtId="0" fontId="0" fillId="3" borderId="0" xfId="32" applyNumberFormat="1" applyFont="1" applyFill="1" applyAlignment="1">
      <alignment horizontal="center"/>
    </xf>
    <xf numFmtId="165" fontId="33" fillId="0" borderId="11" xfId="32" applyNumberFormat="1" applyFont="1" applyFill="1" applyBorder="1" applyProtection="1"/>
    <xf numFmtId="42" fontId="68" fillId="3" borderId="15" xfId="32" applyNumberFormat="1" applyFont="1" applyFill="1" applyBorder="1" applyProtection="1"/>
    <xf numFmtId="41" fontId="34" fillId="3" borderId="38" xfId="32" applyNumberFormat="1" applyFont="1" applyFill="1" applyBorder="1" applyProtection="1"/>
    <xf numFmtId="0" fontId="30" fillId="40" borderId="14" xfId="32" applyNumberFormat="1" applyFont="1" applyFill="1" applyBorder="1" applyAlignment="1">
      <alignment horizontal="center"/>
    </xf>
    <xf numFmtId="168" fontId="34" fillId="0" borderId="38" xfId="0" applyNumberFormat="1" applyFont="1" applyFill="1" applyBorder="1" applyAlignment="1" applyProtection="1">
      <alignment horizontal="center"/>
    </xf>
    <xf numFmtId="41" fontId="8" fillId="35" borderId="0" xfId="32" applyNumberFormat="1" applyFont="1" applyFill="1" applyBorder="1" applyProtection="1"/>
    <xf numFmtId="0" fontId="33" fillId="35" borderId="11" xfId="0" applyFont="1" applyFill="1" applyBorder="1" applyProtection="1">
      <protection locked="0"/>
    </xf>
    <xf numFmtId="44" fontId="33" fillId="35" borderId="11" xfId="32" applyFont="1" applyFill="1" applyBorder="1" applyProtection="1">
      <protection locked="0"/>
    </xf>
    <xf numFmtId="44" fontId="33" fillId="35" borderId="11" xfId="32" applyFont="1" applyFill="1" applyBorder="1" applyAlignment="1" applyProtection="1">
      <alignment horizontal="center" vertical="center"/>
      <protection locked="0"/>
    </xf>
    <xf numFmtId="168" fontId="33" fillId="35" borderId="11" xfId="0" applyNumberFormat="1" applyFont="1" applyFill="1" applyBorder="1" applyAlignment="1" applyProtection="1">
      <alignment horizontal="center"/>
      <protection locked="0"/>
    </xf>
    <xf numFmtId="42" fontId="68" fillId="35" borderId="11" xfId="0" applyNumberFormat="1" applyFont="1" applyFill="1" applyBorder="1" applyProtection="1"/>
    <xf numFmtId="41" fontId="10" fillId="35" borderId="11" xfId="0" applyNumberFormat="1" applyFont="1" applyFill="1" applyBorder="1" applyProtection="1"/>
    <xf numFmtId="169" fontId="33" fillId="35" borderId="11" xfId="0" applyNumberFormat="1" applyFont="1" applyFill="1" applyBorder="1" applyProtection="1">
      <protection locked="0"/>
    </xf>
    <xf numFmtId="41" fontId="8" fillId="3" borderId="0" xfId="32" applyNumberFormat="1" applyFont="1" applyFill="1" applyBorder="1" applyProtection="1"/>
    <xf numFmtId="167" fontId="33" fillId="3" borderId="0" xfId="32" applyNumberFormat="1" applyFont="1" applyFill="1" applyBorder="1" applyProtection="1"/>
    <xf numFmtId="167" fontId="33" fillId="35" borderId="0" xfId="32" applyNumberFormat="1" applyFont="1" applyFill="1" applyBorder="1" applyProtection="1"/>
    <xf numFmtId="44" fontId="33" fillId="3" borderId="0" xfId="0" applyNumberFormat="1" applyFont="1" applyFill="1" applyAlignment="1" applyProtection="1">
      <alignment horizontal="center" vertical="center"/>
    </xf>
    <xf numFmtId="41" fontId="8" fillId="39" borderId="0" xfId="20" applyNumberFormat="1" applyFont="1" applyFill="1" applyBorder="1" applyAlignment="1">
      <alignment horizontal="center" vertical="center" wrapText="1"/>
    </xf>
    <xf numFmtId="41" fontId="8" fillId="39" borderId="26" xfId="0" applyNumberFormat="1" applyFont="1" applyFill="1" applyBorder="1"/>
    <xf numFmtId="41" fontId="62" fillId="52" borderId="0" xfId="0" applyNumberFormat="1" applyFont="1" applyFill="1"/>
    <xf numFmtId="165" fontId="33" fillId="52" borderId="11" xfId="32" applyNumberFormat="1" applyFont="1" applyFill="1" applyBorder="1" applyProtection="1">
      <protection locked="0"/>
    </xf>
    <xf numFmtId="49" fontId="33" fillId="0" borderId="11" xfId="0" quotePrefix="1" applyNumberFormat="1" applyFont="1" applyFill="1" applyBorder="1" applyAlignment="1" applyProtection="1">
      <alignment horizontal="center"/>
      <protection locked="0"/>
    </xf>
    <xf numFmtId="49" fontId="33" fillId="0" borderId="11" xfId="0" applyNumberFormat="1" applyFont="1" applyFill="1" applyBorder="1" applyProtection="1">
      <protection locked="0"/>
    </xf>
    <xf numFmtId="0" fontId="33" fillId="0" borderId="0" xfId="0" applyFont="1" applyFill="1"/>
    <xf numFmtId="41" fontId="10" fillId="52" borderId="0" xfId="0" applyNumberFormat="1" applyFont="1" applyFill="1"/>
    <xf numFmtId="41" fontId="47" fillId="50" borderId="5" xfId="20" applyNumberFormat="1" applyFont="1" applyFill="1" applyBorder="1" applyAlignment="1">
      <alignment vertical="center"/>
    </xf>
    <xf numFmtId="43" fontId="8" fillId="3" borderId="0" xfId="0" applyNumberFormat="1" applyFont="1" applyFill="1"/>
    <xf numFmtId="0" fontId="34" fillId="50" borderId="37" xfId="0" applyFont="1" applyFill="1" applyBorder="1" applyAlignment="1" applyProtection="1">
      <alignment horizontal="center" vertical="center"/>
    </xf>
    <xf numFmtId="0" fontId="33" fillId="35" borderId="11" xfId="0" applyNumberFormat="1" applyFont="1" applyFill="1" applyBorder="1" applyAlignment="1" applyProtection="1">
      <alignment horizontal="center"/>
    </xf>
    <xf numFmtId="0" fontId="69" fillId="36" borderId="31" xfId="20" applyFont="1" applyFill="1" applyBorder="1" applyAlignment="1">
      <alignment horizontal="center" wrapText="1"/>
    </xf>
    <xf numFmtId="0" fontId="69" fillId="36" borderId="2" xfId="20" applyFont="1" applyFill="1" applyBorder="1" applyAlignment="1">
      <alignment horizontal="center" wrapText="1"/>
    </xf>
    <xf numFmtId="167" fontId="9" fillId="43" borderId="30" xfId="20" applyNumberFormat="1" applyFont="1" applyFill="1" applyBorder="1" applyAlignment="1">
      <alignment horizontal="right"/>
    </xf>
    <xf numFmtId="41" fontId="33" fillId="35" borderId="11" xfId="0" applyNumberFormat="1" applyFont="1" applyFill="1" applyBorder="1" applyAlignment="1" applyProtection="1">
      <alignment horizontal="center"/>
    </xf>
    <xf numFmtId="41" fontId="33" fillId="35" borderId="11" xfId="0" applyNumberFormat="1" applyFont="1" applyFill="1" applyBorder="1" applyProtection="1"/>
    <xf numFmtId="41" fontId="33" fillId="50" borderId="11" xfId="0" applyNumberFormat="1" applyFont="1" applyFill="1" applyBorder="1" applyProtection="1"/>
    <xf numFmtId="44" fontId="33" fillId="3" borderId="0" xfId="32" applyFont="1" applyFill="1" applyBorder="1" applyAlignment="1" applyProtection="1">
      <alignment horizontal="center" vertical="center"/>
    </xf>
    <xf numFmtId="165" fontId="33" fillId="3" borderId="0" xfId="32" applyNumberFormat="1" applyFont="1" applyFill="1" applyBorder="1" applyAlignment="1" applyProtection="1">
      <alignment horizontal="center" vertical="center"/>
    </xf>
    <xf numFmtId="1" fontId="67" fillId="35" borderId="11" xfId="0" applyNumberFormat="1" applyFont="1" applyFill="1" applyBorder="1" applyAlignment="1">
      <alignment horizontal="center" vertical="center"/>
    </xf>
    <xf numFmtId="42" fontId="68" fillId="35" borderId="11" xfId="0" applyNumberFormat="1" applyFont="1" applyFill="1" applyBorder="1"/>
    <xf numFmtId="0" fontId="69" fillId="36" borderId="32" xfId="20" applyFont="1" applyFill="1" applyBorder="1" applyAlignment="1">
      <alignment horizontal="center" wrapText="1"/>
    </xf>
    <xf numFmtId="0" fontId="33" fillId="0" borderId="0" xfId="0" applyNumberFormat="1" applyFont="1" applyFill="1" applyAlignment="1">
      <alignment horizontal="center"/>
    </xf>
    <xf numFmtId="0" fontId="33" fillId="3" borderId="0" xfId="0" applyFont="1" applyFill="1" applyBorder="1" applyAlignment="1">
      <alignment horizontal="center"/>
    </xf>
    <xf numFmtId="165" fontId="33" fillId="44" borderId="11" xfId="32" applyNumberFormat="1" applyFont="1" applyFill="1" applyBorder="1"/>
    <xf numFmtId="49" fontId="10" fillId="44" borderId="11" xfId="0" quotePrefix="1" applyNumberFormat="1" applyFont="1" applyFill="1" applyBorder="1" applyAlignment="1">
      <alignment horizontal="center"/>
    </xf>
    <xf numFmtId="44" fontId="33" fillId="50" borderId="11" xfId="32" applyNumberFormat="1" applyFont="1" applyFill="1" applyBorder="1" applyProtection="1">
      <protection locked="0"/>
    </xf>
    <xf numFmtId="165" fontId="34" fillId="3" borderId="0" xfId="32" applyNumberFormat="1" applyFont="1" applyFill="1" applyBorder="1" applyAlignment="1" applyProtection="1">
      <alignment horizontal="center"/>
    </xf>
    <xf numFmtId="165" fontId="33" fillId="3" borderId="0" xfId="32" applyNumberFormat="1" applyFont="1" applyFill="1" applyProtection="1"/>
    <xf numFmtId="165" fontId="34" fillId="47" borderId="11" xfId="32" applyNumberFormat="1" applyFont="1" applyFill="1" applyBorder="1" applyAlignment="1" applyProtection="1">
      <alignment horizontal="center"/>
    </xf>
    <xf numFmtId="43" fontId="33" fillId="50" borderId="11" xfId="109" applyNumberFormat="1" applyFont="1" applyFill="1" applyBorder="1" applyProtection="1">
      <protection locked="0"/>
    </xf>
    <xf numFmtId="49" fontId="33" fillId="50" borderId="11" xfId="0" applyNumberFormat="1" applyFont="1" applyFill="1" applyBorder="1" applyAlignment="1" applyProtection="1">
      <alignment wrapText="1"/>
      <protection locked="0"/>
    </xf>
    <xf numFmtId="49" fontId="33" fillId="52" borderId="11" xfId="0" quotePrefix="1" applyNumberFormat="1" applyFont="1" applyFill="1" applyBorder="1" applyAlignment="1" applyProtection="1">
      <alignment horizontal="center"/>
      <protection locked="0"/>
    </xf>
    <xf numFmtId="49" fontId="33" fillId="52" borderId="11" xfId="0" applyNumberFormat="1" applyFont="1" applyFill="1" applyBorder="1" applyProtection="1">
      <protection locked="0"/>
    </xf>
    <xf numFmtId="167" fontId="33" fillId="52" borderId="11" xfId="109" applyNumberFormat="1" applyFont="1" applyFill="1" applyBorder="1" applyProtection="1">
      <protection locked="0"/>
    </xf>
    <xf numFmtId="49" fontId="33" fillId="38" borderId="11" xfId="0" quotePrefix="1" applyNumberFormat="1" applyFont="1" applyFill="1" applyBorder="1" applyAlignment="1" applyProtection="1">
      <alignment horizontal="center"/>
      <protection locked="0"/>
    </xf>
    <xf numFmtId="49" fontId="33" fillId="38" borderId="11" xfId="0" applyNumberFormat="1" applyFont="1" applyFill="1" applyBorder="1" applyProtection="1">
      <protection locked="0"/>
    </xf>
    <xf numFmtId="167" fontId="33" fillId="38" borderId="11" xfId="109" applyNumberFormat="1" applyFont="1" applyFill="1" applyBorder="1" applyProtection="1">
      <protection locked="0"/>
    </xf>
    <xf numFmtId="165" fontId="33" fillId="38" borderId="11" xfId="32" applyNumberFormat="1" applyFont="1" applyFill="1" applyBorder="1" applyProtection="1">
      <protection locked="0"/>
    </xf>
    <xf numFmtId="165" fontId="0" fillId="0" borderId="0" xfId="0" applyNumberFormat="1" applyFill="1"/>
    <xf numFmtId="49" fontId="33" fillId="42" borderId="11" xfId="0" quotePrefix="1" applyNumberFormat="1" applyFont="1" applyFill="1" applyBorder="1" applyAlignment="1" applyProtection="1">
      <alignment horizontal="center"/>
      <protection locked="0"/>
    </xf>
    <xf numFmtId="49" fontId="33" fillId="42" borderId="11" xfId="0" applyNumberFormat="1" applyFont="1" applyFill="1" applyBorder="1" applyProtection="1">
      <protection locked="0"/>
    </xf>
    <xf numFmtId="167" fontId="33" fillId="42" borderId="11" xfId="109" applyNumberFormat="1" applyFont="1" applyFill="1" applyBorder="1" applyProtection="1">
      <protection locked="0"/>
    </xf>
    <xf numFmtId="165" fontId="33" fillId="42" borderId="11" xfId="32" applyNumberFormat="1" applyFont="1" applyFill="1" applyBorder="1" applyProtection="1">
      <protection locked="0"/>
    </xf>
    <xf numFmtId="49" fontId="33" fillId="53" borderId="11" xfId="0" quotePrefix="1" applyNumberFormat="1" applyFont="1" applyFill="1" applyBorder="1" applyAlignment="1" applyProtection="1">
      <alignment horizontal="center"/>
      <protection locked="0"/>
    </xf>
    <xf numFmtId="49" fontId="33" fillId="53" borderId="11" xfId="0" applyNumberFormat="1" applyFont="1" applyFill="1" applyBorder="1" applyProtection="1">
      <protection locked="0"/>
    </xf>
    <xf numFmtId="167" fontId="33" fillId="53" borderId="11" xfId="109" applyNumberFormat="1" applyFont="1" applyFill="1" applyBorder="1" applyProtection="1">
      <protection locked="0"/>
    </xf>
    <xf numFmtId="165" fontId="33" fillId="53" borderId="11" xfId="32" applyNumberFormat="1" applyFont="1" applyFill="1" applyBorder="1" applyProtection="1">
      <protection locked="0"/>
    </xf>
    <xf numFmtId="0" fontId="3" fillId="46" borderId="11" xfId="0" applyFont="1" applyFill="1" applyBorder="1"/>
    <xf numFmtId="0" fontId="80" fillId="0" borderId="11" xfId="0" applyFont="1" applyBorder="1"/>
    <xf numFmtId="0" fontId="80" fillId="0" borderId="11" xfId="0" applyFont="1" applyBorder="1" applyAlignment="1">
      <alignment horizontal="left"/>
    </xf>
    <xf numFmtId="0" fontId="9" fillId="35" borderId="11" xfId="20" applyFont="1" applyFill="1" applyBorder="1" applyAlignment="1">
      <alignment vertical="center"/>
    </xf>
    <xf numFmtId="42" fontId="10" fillId="35" borderId="11" xfId="0" applyNumberFormat="1" applyFont="1" applyFill="1" applyBorder="1"/>
    <xf numFmtId="41" fontId="47" fillId="35" borderId="11" xfId="20" applyNumberFormat="1" applyFont="1" applyFill="1" applyBorder="1" applyAlignment="1">
      <alignment vertical="center"/>
    </xf>
    <xf numFmtId="0" fontId="51" fillId="42" borderId="31" xfId="20" applyFont="1" applyFill="1" applyBorder="1" applyAlignment="1">
      <alignment horizontal="center" vertical="center"/>
    </xf>
    <xf numFmtId="0" fontId="51" fillId="42" borderId="32" xfId="20" applyFont="1" applyFill="1" applyBorder="1" applyAlignment="1">
      <alignment horizontal="center" vertical="center"/>
    </xf>
    <xf numFmtId="0" fontId="52" fillId="42" borderId="11" xfId="20" applyFont="1" applyFill="1" applyBorder="1" applyAlignment="1">
      <alignment horizontal="center"/>
    </xf>
    <xf numFmtId="0" fontId="51" fillId="3" borderId="0" xfId="20" applyFont="1" applyFill="1" applyAlignment="1">
      <alignment horizontal="center" vertical="top"/>
    </xf>
    <xf numFmtId="0" fontId="33" fillId="50" borderId="4" xfId="0" applyFont="1" applyFill="1" applyBorder="1" applyAlignment="1" applyProtection="1">
      <alignment horizontal="center"/>
      <protection locked="0"/>
    </xf>
    <xf numFmtId="0" fontId="33" fillId="50" borderId="5" xfId="0" applyFont="1" applyFill="1" applyBorder="1" applyAlignment="1" applyProtection="1">
      <alignment horizontal="center"/>
      <protection locked="0"/>
    </xf>
    <xf numFmtId="0" fontId="33" fillId="50" borderId="7" xfId="0" applyFont="1" applyFill="1" applyBorder="1" applyAlignment="1" applyProtection="1">
      <alignment horizontal="center"/>
      <protection locked="0"/>
    </xf>
    <xf numFmtId="0" fontId="34" fillId="35" borderId="14" xfId="0" applyFont="1" applyFill="1" applyBorder="1" applyAlignment="1" applyProtection="1">
      <alignment horizontal="center"/>
    </xf>
    <xf numFmtId="0" fontId="34" fillId="35" borderId="15" xfId="0" applyFont="1" applyFill="1" applyBorder="1" applyAlignment="1" applyProtection="1">
      <alignment horizontal="center"/>
    </xf>
    <xf numFmtId="0" fontId="34" fillId="35" borderId="16" xfId="0" applyFont="1" applyFill="1" applyBorder="1" applyAlignment="1" applyProtection="1">
      <alignment horizontal="center"/>
    </xf>
    <xf numFmtId="0" fontId="34" fillId="35" borderId="4" xfId="0" applyFont="1" applyFill="1" applyBorder="1" applyAlignment="1" applyProtection="1">
      <alignment horizontal="center"/>
    </xf>
    <xf numFmtId="0" fontId="34" fillId="35" borderId="5" xfId="0" applyFont="1" applyFill="1" applyBorder="1" applyAlignment="1" applyProtection="1">
      <alignment horizontal="center"/>
    </xf>
    <xf numFmtId="0" fontId="34" fillId="35" borderId="7" xfId="0" applyFont="1" applyFill="1" applyBorder="1" applyAlignment="1" applyProtection="1">
      <alignment horizontal="center"/>
    </xf>
    <xf numFmtId="0" fontId="34" fillId="35" borderId="11" xfId="0" applyFont="1" applyFill="1" applyBorder="1" applyAlignment="1" applyProtection="1">
      <alignment horizontal="center" vertical="center" wrapText="1"/>
    </xf>
    <xf numFmtId="0" fontId="34" fillId="35" borderId="4" xfId="0" applyFont="1" applyFill="1" applyBorder="1" applyAlignment="1" applyProtection="1">
      <alignment horizontal="center" vertical="center"/>
    </xf>
    <xf numFmtId="0" fontId="34" fillId="35" borderId="5" xfId="0" applyFont="1" applyFill="1" applyBorder="1" applyAlignment="1" applyProtection="1">
      <alignment horizontal="center" vertical="center"/>
    </xf>
    <xf numFmtId="0" fontId="34" fillId="35" borderId="7" xfId="0" applyFont="1" applyFill="1" applyBorder="1" applyAlignment="1" applyProtection="1">
      <alignment horizontal="center" vertical="center"/>
    </xf>
    <xf numFmtId="0" fontId="34" fillId="35" borderId="11" xfId="0" applyFont="1" applyFill="1" applyBorder="1" applyAlignment="1" applyProtection="1">
      <alignment horizontal="center" vertical="center"/>
    </xf>
    <xf numFmtId="44" fontId="34" fillId="35" borderId="31" xfId="32" applyFont="1" applyFill="1" applyBorder="1" applyAlignment="1" applyProtection="1">
      <alignment horizontal="center" vertical="center" wrapText="1"/>
    </xf>
    <xf numFmtId="44" fontId="34" fillId="35" borderId="32" xfId="32" applyFont="1" applyFill="1" applyBorder="1" applyAlignment="1" applyProtection="1">
      <alignment horizontal="center" vertical="center" wrapText="1"/>
    </xf>
    <xf numFmtId="0" fontId="34" fillId="35" borderId="9" xfId="0" applyFont="1" applyFill="1" applyBorder="1" applyAlignment="1" applyProtection="1">
      <alignment horizontal="center" vertical="center" wrapText="1"/>
    </xf>
    <xf numFmtId="0" fontId="34" fillId="35" borderId="10" xfId="0" applyFont="1" applyFill="1" applyBorder="1" applyAlignment="1" applyProtection="1">
      <alignment horizontal="center" vertical="center" wrapText="1"/>
    </xf>
    <xf numFmtId="0" fontId="34" fillId="35" borderId="2" xfId="0" applyFont="1" applyFill="1" applyBorder="1" applyAlignment="1" applyProtection="1">
      <alignment horizontal="center" vertical="center" wrapText="1"/>
    </xf>
    <xf numFmtId="0" fontId="34" fillId="35" borderId="3" xfId="0" applyFont="1" applyFill="1" applyBorder="1" applyAlignment="1" applyProtection="1">
      <alignment horizontal="center" vertical="center" wrapText="1"/>
    </xf>
    <xf numFmtId="0" fontId="33" fillId="3" borderId="4" xfId="32" applyNumberFormat="1" applyFont="1" applyFill="1" applyBorder="1" applyAlignment="1">
      <alignment horizontal="center"/>
    </xf>
    <xf numFmtId="0" fontId="33" fillId="3" borderId="5" xfId="32" applyNumberFormat="1" applyFont="1" applyFill="1" applyBorder="1" applyAlignment="1">
      <alignment horizontal="center"/>
    </xf>
    <xf numFmtId="0" fontId="33" fillId="3" borderId="7" xfId="32" applyNumberFormat="1" applyFont="1" applyFill="1" applyBorder="1" applyAlignment="1">
      <alignment horizontal="center"/>
    </xf>
    <xf numFmtId="0" fontId="34" fillId="35" borderId="14" xfId="0" applyFont="1" applyFill="1" applyBorder="1" applyAlignment="1">
      <alignment horizontal="center"/>
    </xf>
    <xf numFmtId="0" fontId="34" fillId="35" borderId="15" xfId="0" applyFont="1" applyFill="1" applyBorder="1" applyAlignment="1">
      <alignment horizontal="center"/>
    </xf>
    <xf numFmtId="0" fontId="34" fillId="35" borderId="16" xfId="0" applyFont="1" applyFill="1" applyBorder="1" applyAlignment="1">
      <alignment horizontal="center"/>
    </xf>
    <xf numFmtId="0" fontId="11" fillId="3" borderId="0" xfId="20" applyFont="1" applyFill="1" applyAlignment="1">
      <alignment horizontal="left"/>
    </xf>
  </cellXfs>
  <cellStyles count="110">
    <cellStyle name="20% - Accent1" xfId="49" builtinId="30" customBuiltin="1"/>
    <cellStyle name="20% - Accent1 2" xfId="78" xr:uid="{00000000-0005-0000-0000-000001000000}"/>
    <cellStyle name="20% - Accent1 3" xfId="93" xr:uid="{00000000-0005-0000-0000-000002000000}"/>
    <cellStyle name="20% - Accent2" xfId="52" builtinId="34" customBuiltin="1"/>
    <cellStyle name="20% - Accent2 2" xfId="80" xr:uid="{00000000-0005-0000-0000-000004000000}"/>
    <cellStyle name="20% - Accent2 3" xfId="95" xr:uid="{00000000-0005-0000-0000-000005000000}"/>
    <cellStyle name="20% - Accent3" xfId="55" builtinId="38" customBuiltin="1"/>
    <cellStyle name="20% - Accent3 2" xfId="82" xr:uid="{00000000-0005-0000-0000-000007000000}"/>
    <cellStyle name="20% - Accent3 3" xfId="97" xr:uid="{00000000-0005-0000-0000-000008000000}"/>
    <cellStyle name="20% - Accent4" xfId="58" builtinId="42" customBuiltin="1"/>
    <cellStyle name="20% - Accent4 2" xfId="84" xr:uid="{00000000-0005-0000-0000-00000A000000}"/>
    <cellStyle name="20% - Accent4 3" xfId="99" xr:uid="{00000000-0005-0000-0000-00000B000000}"/>
    <cellStyle name="20% - Accent5" xfId="61" builtinId="46" customBuiltin="1"/>
    <cellStyle name="20% - Accent5 2" xfId="86" xr:uid="{00000000-0005-0000-0000-00000D000000}"/>
    <cellStyle name="20% - Accent5 3" xfId="101" xr:uid="{00000000-0005-0000-0000-00000E000000}"/>
    <cellStyle name="20% - Accent6" xfId="64" builtinId="50" customBuiltin="1"/>
    <cellStyle name="20% - Accent6 2" xfId="88" xr:uid="{00000000-0005-0000-0000-000010000000}"/>
    <cellStyle name="20% - Accent6 3" xfId="103" xr:uid="{00000000-0005-0000-0000-000011000000}"/>
    <cellStyle name="40% - Accent1" xfId="50" builtinId="31" customBuiltin="1"/>
    <cellStyle name="40% - Accent1 2" xfId="79" xr:uid="{00000000-0005-0000-0000-000013000000}"/>
    <cellStyle name="40% - Accent1 3" xfId="94" xr:uid="{00000000-0005-0000-0000-000014000000}"/>
    <cellStyle name="40% - Accent2" xfId="53" builtinId="35" customBuiltin="1"/>
    <cellStyle name="40% - Accent2 2" xfId="81" xr:uid="{00000000-0005-0000-0000-000016000000}"/>
    <cellStyle name="40% - Accent2 3" xfId="96" xr:uid="{00000000-0005-0000-0000-000017000000}"/>
    <cellStyle name="40% - Accent3" xfId="56" builtinId="39" customBuiltin="1"/>
    <cellStyle name="40% - Accent3 2" xfId="83" xr:uid="{00000000-0005-0000-0000-000019000000}"/>
    <cellStyle name="40% - Accent3 3" xfId="98" xr:uid="{00000000-0005-0000-0000-00001A000000}"/>
    <cellStyle name="40% - Accent4" xfId="59" builtinId="43" customBuiltin="1"/>
    <cellStyle name="40% - Accent4 2" xfId="85" xr:uid="{00000000-0005-0000-0000-00001C000000}"/>
    <cellStyle name="40% - Accent4 3" xfId="100" xr:uid="{00000000-0005-0000-0000-00001D000000}"/>
    <cellStyle name="40% - Accent5" xfId="62" builtinId="47" customBuiltin="1"/>
    <cellStyle name="40% - Accent5 2" xfId="87" xr:uid="{00000000-0005-0000-0000-00001F000000}"/>
    <cellStyle name="40% - Accent5 3" xfId="102" xr:uid="{00000000-0005-0000-0000-000020000000}"/>
    <cellStyle name="40% - Accent6" xfId="65" builtinId="51" customBuiltin="1"/>
    <cellStyle name="40% - Accent6 2" xfId="89" xr:uid="{00000000-0005-0000-0000-000022000000}"/>
    <cellStyle name="40% - Accent6 3" xfId="104" xr:uid="{00000000-0005-0000-0000-000023000000}"/>
    <cellStyle name="60% - Accent1 2" xfId="69" xr:uid="{00000000-0005-0000-0000-000024000000}"/>
    <cellStyle name="60% - Accent2 2" xfId="70" xr:uid="{00000000-0005-0000-0000-000025000000}"/>
    <cellStyle name="60% - Accent3 2" xfId="71" xr:uid="{00000000-0005-0000-0000-000026000000}"/>
    <cellStyle name="60% - Accent4 2" xfId="72" xr:uid="{00000000-0005-0000-0000-000027000000}"/>
    <cellStyle name="60% - Accent5 2" xfId="73" xr:uid="{00000000-0005-0000-0000-000028000000}"/>
    <cellStyle name="60% - Accent6 2" xfId="74" xr:uid="{00000000-0005-0000-0000-000029000000}"/>
    <cellStyle name="Accent1" xfId="48" builtinId="29" customBuiltin="1"/>
    <cellStyle name="Accent2" xfId="51" builtinId="33" customBuiltin="1"/>
    <cellStyle name="Accent3" xfId="54" builtinId="37" customBuiltin="1"/>
    <cellStyle name="Accent4" xfId="57" builtinId="41" customBuiltin="1"/>
    <cellStyle name="Accent5" xfId="60" builtinId="45" customBuiltin="1"/>
    <cellStyle name="Accent6" xfId="63" builtinId="49" customBuiltin="1"/>
    <cellStyle name="ALSTEC Bottom" xfId="2" xr:uid="{00000000-0005-0000-0000-000030000000}"/>
    <cellStyle name="ALSTEC Bottom Left" xfId="3" xr:uid="{00000000-0005-0000-0000-000031000000}"/>
    <cellStyle name="ALSTEC Bottom Left 2" xfId="21" xr:uid="{00000000-0005-0000-0000-000032000000}"/>
    <cellStyle name="ALSTEC Bottom Left 3" xfId="28" xr:uid="{00000000-0005-0000-0000-000033000000}"/>
    <cellStyle name="ALSTEC Bottom Left 4" xfId="30" xr:uid="{00000000-0005-0000-0000-000034000000}"/>
    <cellStyle name="ALSTEC Bottom Left_ActBRD" xfId="23" xr:uid="{00000000-0005-0000-0000-000035000000}"/>
    <cellStyle name="ALSTEC Bottom Right" xfId="4" xr:uid="{00000000-0005-0000-0000-000036000000}"/>
    <cellStyle name="ALSTEC Bottom Right 2" xfId="22" xr:uid="{00000000-0005-0000-0000-000037000000}"/>
    <cellStyle name="ALSTEC Bottom Right 3" xfId="29" xr:uid="{00000000-0005-0000-0000-000038000000}"/>
    <cellStyle name="ALSTEC Bottom Right 4" xfId="31" xr:uid="{00000000-0005-0000-0000-000039000000}"/>
    <cellStyle name="ALSTEC Bottom Right_ActBRD" xfId="24" xr:uid="{00000000-0005-0000-0000-00003A000000}"/>
    <cellStyle name="ALSTEC Currency" xfId="5" xr:uid="{00000000-0005-0000-0000-00003B000000}"/>
    <cellStyle name="ALSTEC Date" xfId="6" xr:uid="{00000000-0005-0000-0000-00003C000000}"/>
    <cellStyle name="ALSTEC Detail Header" xfId="7" xr:uid="{00000000-0005-0000-0000-00003D000000}"/>
    <cellStyle name="ALSTEC DOUBLE" xfId="8" xr:uid="{00000000-0005-0000-0000-00003E000000}"/>
    <cellStyle name="ALSTEC DOUBLE 2" xfId="26" xr:uid="{00000000-0005-0000-0000-00003F000000}"/>
    <cellStyle name="ALSTEC Left" xfId="9" xr:uid="{00000000-0005-0000-0000-000040000000}"/>
    <cellStyle name="ALSTEC Middle" xfId="10" xr:uid="{00000000-0005-0000-0000-000041000000}"/>
    <cellStyle name="ALSTEC Normal" xfId="11" xr:uid="{00000000-0005-0000-0000-000042000000}"/>
    <cellStyle name="ALSTEC Normal 2" xfId="27" xr:uid="{00000000-0005-0000-0000-000043000000}"/>
    <cellStyle name="ALSTEC Normal_ActBRD" xfId="12" xr:uid="{00000000-0005-0000-0000-000044000000}"/>
    <cellStyle name="ALSTEC Report Body" xfId="13" xr:uid="{00000000-0005-0000-0000-000045000000}"/>
    <cellStyle name="ALSTEC Right" xfId="14" xr:uid="{00000000-0005-0000-0000-000046000000}"/>
    <cellStyle name="ALSTEC Subtotal" xfId="15" xr:uid="{00000000-0005-0000-0000-000047000000}"/>
    <cellStyle name="ALSTEC Top" xfId="16" xr:uid="{00000000-0005-0000-0000-000048000000}"/>
    <cellStyle name="ALSTEC Top Left" xfId="17" xr:uid="{00000000-0005-0000-0000-000049000000}"/>
    <cellStyle name="ALSTEC Top Right" xfId="18" xr:uid="{00000000-0005-0000-0000-00004A000000}"/>
    <cellStyle name="ALSTEC Total" xfId="19" xr:uid="{00000000-0005-0000-0000-00004B000000}"/>
    <cellStyle name="Bad" xfId="39" builtinId="27" customBuiltin="1"/>
    <cellStyle name="Calculation" xfId="42" builtinId="22" customBuiltin="1"/>
    <cellStyle name="Check Cell" xfId="44" builtinId="23" customBuiltin="1"/>
    <cellStyle name="Comma" xfId="109" builtinId="3"/>
    <cellStyle name="Comma 2" xfId="66" xr:uid="{00000000-0005-0000-0000-000050000000}"/>
    <cellStyle name="Currency" xfId="32" builtinId="4"/>
    <cellStyle name="Explanatory Text" xfId="46" builtinId="53" customBuiltin="1"/>
    <cellStyle name="Good" xfId="38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40" builtinId="20" customBuiltin="1"/>
    <cellStyle name="Linked Cell" xfId="43" builtinId="24" customBuiltin="1"/>
    <cellStyle name="Neutral 2" xfId="68" xr:uid="{00000000-0005-0000-0000-00005A000000}"/>
    <cellStyle name="Normal" xfId="0" builtinId="0"/>
    <cellStyle name="Normal 2" xfId="20" xr:uid="{00000000-0005-0000-0000-00005C000000}"/>
    <cellStyle name="Normal 3" xfId="25" xr:uid="{00000000-0005-0000-0000-00005D000000}"/>
    <cellStyle name="Normal 3 2" xfId="90" xr:uid="{00000000-0005-0000-0000-00005E000000}"/>
    <cellStyle name="Normal 3 3" xfId="105" xr:uid="{00000000-0005-0000-0000-00005F000000}"/>
    <cellStyle name="Normal 3 4" xfId="75" xr:uid="{00000000-0005-0000-0000-000060000000}"/>
    <cellStyle name="Normal 4" xfId="1" xr:uid="{00000000-0005-0000-0000-000061000000}"/>
    <cellStyle name="Normal 4 2" xfId="92" xr:uid="{00000000-0005-0000-0000-000062000000}"/>
    <cellStyle name="Normal 4 3" xfId="107" xr:uid="{00000000-0005-0000-0000-000063000000}"/>
    <cellStyle name="Normal 4 4" xfId="77" xr:uid="{00000000-0005-0000-0000-000064000000}"/>
    <cellStyle name="Normal 4 5" xfId="108" xr:uid="{00000000-0005-0000-0000-000065000000}"/>
    <cellStyle name="Note 2" xfId="76" xr:uid="{00000000-0005-0000-0000-000066000000}"/>
    <cellStyle name="Note 2 2" xfId="91" xr:uid="{00000000-0005-0000-0000-000067000000}"/>
    <cellStyle name="Note 2 3" xfId="106" xr:uid="{00000000-0005-0000-0000-000068000000}"/>
    <cellStyle name="Output" xfId="41" builtinId="21" customBuiltin="1"/>
    <cellStyle name="Percent" xfId="33" builtinId="5"/>
    <cellStyle name="Title 2" xfId="67" xr:uid="{00000000-0005-0000-0000-00006B000000}"/>
    <cellStyle name="Total" xfId="47" builtinId="25" customBuiltin="1"/>
    <cellStyle name="Warning Text" xfId="45" builtinId="11" customBuiltin="1"/>
  </cellStyles>
  <dxfs count="25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9C9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57430715729441"/>
          <c:y val="0.20162948205748887"/>
          <c:w val="0.81893899937615655"/>
          <c:h val="0.51068696021621696"/>
        </c:manualLayout>
      </c:layout>
      <c:lineChart>
        <c:grouping val="standard"/>
        <c:varyColors val="0"/>
        <c:ser>
          <c:idx val="1"/>
          <c:order val="0"/>
          <c:tx>
            <c:v>ORIGINAL CASH</c:v>
          </c:tx>
          <c:marker>
            <c:symbol val="none"/>
          </c:marker>
          <c:cat>
            <c:numRef>
              <c:f>'FY21'!$E$4:$P$4</c:f>
              <c:numCache>
                <c:formatCode>[$-409]mmm\-yy;@</c:formatCode>
                <c:ptCount val="12"/>
                <c:pt idx="0">
                  <c:v>44013</c:v>
                </c:pt>
                <c:pt idx="1">
                  <c:v>44044</c:v>
                </c:pt>
                <c:pt idx="2">
                  <c:v>44075</c:v>
                </c:pt>
                <c:pt idx="3">
                  <c:v>44106</c:v>
                </c:pt>
                <c:pt idx="4">
                  <c:v>44137</c:v>
                </c:pt>
                <c:pt idx="5">
                  <c:v>44168</c:v>
                </c:pt>
                <c:pt idx="6">
                  <c:v>44199</c:v>
                </c:pt>
                <c:pt idx="7">
                  <c:v>44230</c:v>
                </c:pt>
                <c:pt idx="8">
                  <c:v>44261</c:v>
                </c:pt>
                <c:pt idx="9">
                  <c:v>44292</c:v>
                </c:pt>
                <c:pt idx="10">
                  <c:v>44323</c:v>
                </c:pt>
                <c:pt idx="11">
                  <c:v>44354</c:v>
                </c:pt>
              </c:numCache>
            </c:numRef>
          </c:cat>
          <c:val>
            <c:numRef>
              <c:f>'Original Budget'!$E$141:$P$141</c:f>
              <c:numCache>
                <c:formatCode>_("$"* #,##0_);_("$"* \(#,##0\);_("$"* "-"_);_(@_)</c:formatCode>
                <c:ptCount val="12"/>
                <c:pt idx="0">
                  <c:v>10847.568247638934</c:v>
                </c:pt>
                <c:pt idx="1">
                  <c:v>21695.136495277868</c:v>
                </c:pt>
                <c:pt idx="2">
                  <c:v>32542.704742916801</c:v>
                </c:pt>
                <c:pt idx="3">
                  <c:v>43390.272990555735</c:v>
                </c:pt>
                <c:pt idx="4">
                  <c:v>54237.841238194669</c:v>
                </c:pt>
                <c:pt idx="5">
                  <c:v>65085.409485833603</c:v>
                </c:pt>
                <c:pt idx="6">
                  <c:v>75932.977733472537</c:v>
                </c:pt>
                <c:pt idx="7">
                  <c:v>86780.545981111471</c:v>
                </c:pt>
                <c:pt idx="8">
                  <c:v>97628.114228750404</c:v>
                </c:pt>
                <c:pt idx="9">
                  <c:v>108475.68247638934</c:v>
                </c:pt>
                <c:pt idx="10">
                  <c:v>119323.25072402827</c:v>
                </c:pt>
                <c:pt idx="11">
                  <c:v>130170.81897166721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91-4F21-951B-0220FA957A02}"/>
            </c:ext>
          </c:extLst>
        </c:ser>
        <c:ser>
          <c:idx val="2"/>
          <c:order val="1"/>
          <c:tx>
            <c:v>REVISED CASH</c:v>
          </c:tx>
          <c:marker>
            <c:symbol val="none"/>
          </c:marker>
          <c:cat>
            <c:numRef>
              <c:f>'FY21'!$E$4:$P$4</c:f>
              <c:numCache>
                <c:formatCode>[$-409]mmm\-yy;@</c:formatCode>
                <c:ptCount val="12"/>
                <c:pt idx="0">
                  <c:v>44013</c:v>
                </c:pt>
                <c:pt idx="1">
                  <c:v>44044</c:v>
                </c:pt>
                <c:pt idx="2">
                  <c:v>44075</c:v>
                </c:pt>
                <c:pt idx="3">
                  <c:v>44106</c:v>
                </c:pt>
                <c:pt idx="4">
                  <c:v>44137</c:v>
                </c:pt>
                <c:pt idx="5">
                  <c:v>44168</c:v>
                </c:pt>
                <c:pt idx="6">
                  <c:v>44199</c:v>
                </c:pt>
                <c:pt idx="7">
                  <c:v>44230</c:v>
                </c:pt>
                <c:pt idx="8">
                  <c:v>44261</c:v>
                </c:pt>
                <c:pt idx="9">
                  <c:v>44292</c:v>
                </c:pt>
                <c:pt idx="10">
                  <c:v>44323</c:v>
                </c:pt>
                <c:pt idx="11">
                  <c:v>44354</c:v>
                </c:pt>
              </c:numCache>
            </c:numRef>
          </c:cat>
          <c:val>
            <c:numRef>
              <c:f>'Revised Budget'!$E$141:$P$141</c:f>
              <c:numCache>
                <c:formatCode>_("$"* #,##0_);_("$"* \(#,##0\);_("$"* "-"_);_(@_)</c:formatCode>
                <c:ptCount val="12"/>
                <c:pt idx="0">
                  <c:v>14526.741417572921</c:v>
                </c:pt>
                <c:pt idx="1">
                  <c:v>29053.482835145842</c:v>
                </c:pt>
                <c:pt idx="2">
                  <c:v>43580.224252718763</c:v>
                </c:pt>
                <c:pt idx="3">
                  <c:v>58106.965670291684</c:v>
                </c:pt>
                <c:pt idx="4">
                  <c:v>72633.707087864605</c:v>
                </c:pt>
                <c:pt idx="5">
                  <c:v>87160.448505437525</c:v>
                </c:pt>
                <c:pt idx="6">
                  <c:v>101687.18992301045</c:v>
                </c:pt>
                <c:pt idx="7">
                  <c:v>116213.93134058337</c:v>
                </c:pt>
                <c:pt idx="8">
                  <c:v>130740.67275815629</c:v>
                </c:pt>
                <c:pt idx="9">
                  <c:v>145267.41417572921</c:v>
                </c:pt>
                <c:pt idx="10">
                  <c:v>159794.15559330213</c:v>
                </c:pt>
                <c:pt idx="11">
                  <c:v>174320.89701087505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91-4F21-951B-0220FA957A02}"/>
            </c:ext>
          </c:extLst>
        </c:ser>
        <c:ser>
          <c:idx val="0"/>
          <c:order val="2"/>
          <c:tx>
            <c:v>FINAL CASH</c:v>
          </c:tx>
          <c:marker>
            <c:symbol val="none"/>
          </c:marker>
          <c:val>
            <c:numRef>
              <c:f>'FY21'!$E$141:$P$141</c:f>
              <c:numCache>
                <c:formatCode>_("$"* #,##0_);_("$"* \(#,##0\);_("$"* "-"_);_(@_)</c:formatCode>
                <c:ptCount val="12"/>
                <c:pt idx="0">
                  <c:v>5604.1721182916663</c:v>
                </c:pt>
                <c:pt idx="1">
                  <c:v>-42190.165763416648</c:v>
                </c:pt>
                <c:pt idx="2">
                  <c:v>-84112.460645124956</c:v>
                </c:pt>
                <c:pt idx="3">
                  <c:v>-63461.165526833298</c:v>
                </c:pt>
                <c:pt idx="4">
                  <c:v>-93948.325408541627</c:v>
                </c:pt>
                <c:pt idx="5">
                  <c:v>-98419.640290249954</c:v>
                </c:pt>
                <c:pt idx="6">
                  <c:v>-49246.9751719583</c:v>
                </c:pt>
                <c:pt idx="7">
                  <c:v>-75910.095053666621</c:v>
                </c:pt>
                <c:pt idx="8">
                  <c:v>-81626.959935374936</c:v>
                </c:pt>
                <c:pt idx="9">
                  <c:v>-37253.474817083275</c:v>
                </c:pt>
                <c:pt idx="10">
                  <c:v>-33510.177698791609</c:v>
                </c:pt>
                <c:pt idx="11">
                  <c:v>18558.239619500004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A7-447D-928A-7D2A53410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005608"/>
        <c:axId val="164002080"/>
      </c:lineChart>
      <c:dateAx>
        <c:axId val="164005608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low"/>
        <c:spPr>
          <a:ln w="3175">
            <a:solidFill>
              <a:schemeClr val="tx1"/>
            </a:solidFill>
            <a:prstDash val="solid"/>
          </a:ln>
        </c:spPr>
        <c:txPr>
          <a:bodyPr rot="-2700000" vert="horz"/>
          <a:lstStyle/>
          <a:p>
            <a:pPr>
              <a:defRPr sz="800"/>
            </a:pPr>
            <a:endParaRPr lang="en-US"/>
          </a:p>
        </c:txPr>
        <c:crossAx val="164002080"/>
        <c:crosses val="autoZero"/>
        <c:auto val="1"/>
        <c:lblOffset val="100"/>
        <c:baseTimeUnit val="months"/>
        <c:majorTimeUnit val="months"/>
        <c:minorUnit val="1"/>
        <c:minorTimeUnit val="months"/>
      </c:dateAx>
      <c:valAx>
        <c:axId val="164002080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>
                  <a:lumMod val="75000"/>
                  <a:lumOff val="25000"/>
                  <a:alpha val="70000"/>
                </a:schemeClr>
              </a:solidFill>
              <a:prstDash val="solid"/>
            </a:ln>
          </c:spPr>
        </c:majorGridlines>
        <c:numFmt formatCode="_(&quot;$&quot;* #,##0_);_(&quot;$&quot;* \(#,##0\);_(&quot;$&quot;* &quot;-&quot;_);_(@_)" sourceLinked="0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/>
            </a:pPr>
            <a:endParaRPr lang="en-US"/>
          </a:p>
        </c:txPr>
        <c:crossAx val="16400560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7.5135104008370234E-3"/>
                <c:y val="0.28299159115362843"/>
              </c:manualLayout>
            </c:layout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</c:dispUnitsLbl>
        </c:dispUnits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  <a:effectLst>
          <a:softEdge rad="63500"/>
        </a:effectLst>
        <a:scene3d>
          <a:camera prst="orthographicFront"/>
          <a:lightRig rig="threePt" dir="t"/>
        </a:scene3d>
        <a:sp3d prstMaterial="dkEdge">
          <a:bevelB/>
        </a:sp3d>
      </c:spPr>
    </c:plotArea>
    <c:plotVisOnly val="1"/>
    <c:dispBlanksAs val="gap"/>
    <c:showDLblsOverMax val="0"/>
  </c:chart>
  <c:spPr>
    <a:solidFill>
      <a:schemeClr val="bg1">
        <a:lumMod val="85000"/>
      </a:schemeClr>
    </a:solidFill>
    <a:ln w="3175" cap="rnd" cmpd="sng">
      <a:solidFill>
        <a:schemeClr val="tx1"/>
      </a:solidFill>
      <a:prstDash val="solid"/>
      <a:miter lim="800000"/>
    </a:ln>
    <a:effectLst/>
    <a:scene3d>
      <a:camera prst="orthographicFront"/>
      <a:lightRig rig="threePt" dir="t"/>
    </a:scene3d>
    <a:sp3d/>
  </c:spPr>
  <c:txPr>
    <a:bodyPr/>
    <a:lstStyle/>
    <a:p>
      <a:pPr>
        <a:defRPr sz="7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639913960310465E-2"/>
          <c:y val="0.20162948205748887"/>
          <c:w val="0.86087342565969927"/>
          <c:h val="0.48252126671008599"/>
        </c:manualLayout>
      </c:layout>
      <c:lineChart>
        <c:grouping val="standard"/>
        <c:varyColors val="0"/>
        <c:ser>
          <c:idx val="0"/>
          <c:order val="0"/>
          <c:tx>
            <c:v>ACTUAL/FINAL CASH</c:v>
          </c:tx>
          <c:marker>
            <c:symbol val="none"/>
          </c:marker>
          <c:cat>
            <c:numRef>
              <c:f>'FY21'!$E$4:$P$4</c:f>
              <c:numCache>
                <c:formatCode>[$-409]mmm\-yy;@</c:formatCode>
                <c:ptCount val="12"/>
                <c:pt idx="0">
                  <c:v>44013</c:v>
                </c:pt>
                <c:pt idx="1">
                  <c:v>44044</c:v>
                </c:pt>
                <c:pt idx="2">
                  <c:v>44075</c:v>
                </c:pt>
                <c:pt idx="3">
                  <c:v>44106</c:v>
                </c:pt>
                <c:pt idx="4">
                  <c:v>44137</c:v>
                </c:pt>
                <c:pt idx="5">
                  <c:v>44168</c:v>
                </c:pt>
                <c:pt idx="6">
                  <c:v>44199</c:v>
                </c:pt>
                <c:pt idx="7">
                  <c:v>44230</c:v>
                </c:pt>
                <c:pt idx="8">
                  <c:v>44261</c:v>
                </c:pt>
                <c:pt idx="9">
                  <c:v>44292</c:v>
                </c:pt>
                <c:pt idx="10">
                  <c:v>44323</c:v>
                </c:pt>
                <c:pt idx="11">
                  <c:v>44354</c:v>
                </c:pt>
              </c:numCache>
            </c:numRef>
          </c:cat>
          <c:val>
            <c:numRef>
              <c:f>'FY21'!$E$141:$P$141</c:f>
              <c:numCache>
                <c:formatCode>_("$"* #,##0_);_("$"* \(#,##0\);_("$"* "-"_);_(@_)</c:formatCode>
                <c:ptCount val="12"/>
                <c:pt idx="0">
                  <c:v>5604.1721182916663</c:v>
                </c:pt>
                <c:pt idx="1">
                  <c:v>-42190.165763416648</c:v>
                </c:pt>
                <c:pt idx="2">
                  <c:v>-84112.460645124956</c:v>
                </c:pt>
                <c:pt idx="3">
                  <c:v>-63461.165526833298</c:v>
                </c:pt>
                <c:pt idx="4">
                  <c:v>-93948.325408541627</c:v>
                </c:pt>
                <c:pt idx="5">
                  <c:v>-98419.640290249954</c:v>
                </c:pt>
                <c:pt idx="6">
                  <c:v>-49246.9751719583</c:v>
                </c:pt>
                <c:pt idx="7">
                  <c:v>-75910.095053666621</c:v>
                </c:pt>
                <c:pt idx="8">
                  <c:v>-81626.959935374936</c:v>
                </c:pt>
                <c:pt idx="9">
                  <c:v>-37253.474817083275</c:v>
                </c:pt>
                <c:pt idx="10">
                  <c:v>-33510.177698791609</c:v>
                </c:pt>
                <c:pt idx="11">
                  <c:v>18558.239619500004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FF-4748-960B-6A85150FCB2A}"/>
            </c:ext>
          </c:extLst>
        </c:ser>
        <c:ser>
          <c:idx val="1"/>
          <c:order val="1"/>
          <c:tx>
            <c:v>GOAL 10% CASH (apprx. 30 days)</c:v>
          </c:tx>
          <c:spPr>
            <a:ln>
              <a:solidFill>
                <a:srgbClr val="C00000"/>
              </a:solidFill>
              <a:prstDash val="sysDash"/>
            </a:ln>
          </c:spPr>
          <c:marker>
            <c:symbol val="none"/>
          </c:marker>
          <c:cat>
            <c:numRef>
              <c:f>'FY21'!$E$4:$P$4</c:f>
              <c:numCache>
                <c:formatCode>[$-409]mmm\-yy;@</c:formatCode>
                <c:ptCount val="12"/>
                <c:pt idx="0">
                  <c:v>44013</c:v>
                </c:pt>
                <c:pt idx="1">
                  <c:v>44044</c:v>
                </c:pt>
                <c:pt idx="2">
                  <c:v>44075</c:v>
                </c:pt>
                <c:pt idx="3">
                  <c:v>44106</c:v>
                </c:pt>
                <c:pt idx="4">
                  <c:v>44137</c:v>
                </c:pt>
                <c:pt idx="5">
                  <c:v>44168</c:v>
                </c:pt>
                <c:pt idx="6">
                  <c:v>44199</c:v>
                </c:pt>
                <c:pt idx="7">
                  <c:v>44230</c:v>
                </c:pt>
                <c:pt idx="8">
                  <c:v>44261</c:v>
                </c:pt>
                <c:pt idx="9">
                  <c:v>44292</c:v>
                </c:pt>
                <c:pt idx="10">
                  <c:v>44323</c:v>
                </c:pt>
                <c:pt idx="11">
                  <c:v>44354</c:v>
                </c:pt>
              </c:numCache>
            </c:numRef>
          </c:cat>
          <c:val>
            <c:numRef>
              <c:f>'FY21'!$E$142:$P$142</c:f>
              <c:numCache>
                <c:formatCode>_(* #,##0_);_(* \(#,##0\);_(* "-"_);_(@_)</c:formatCode>
                <c:ptCount val="12"/>
                <c:pt idx="0">
                  <c:v>217667.29955805</c:v>
                </c:pt>
                <c:pt idx="1">
                  <c:v>217667.29955805</c:v>
                </c:pt>
                <c:pt idx="2">
                  <c:v>217667.29955805</c:v>
                </c:pt>
                <c:pt idx="3">
                  <c:v>217667.29955805</c:v>
                </c:pt>
                <c:pt idx="4">
                  <c:v>217667.29955805</c:v>
                </c:pt>
                <c:pt idx="5">
                  <c:v>217667.29955805</c:v>
                </c:pt>
                <c:pt idx="6">
                  <c:v>217667.29955805</c:v>
                </c:pt>
                <c:pt idx="7">
                  <c:v>217667.29955805</c:v>
                </c:pt>
                <c:pt idx="8">
                  <c:v>217667.29955805</c:v>
                </c:pt>
                <c:pt idx="9">
                  <c:v>217667.29955805</c:v>
                </c:pt>
                <c:pt idx="10">
                  <c:v>217667.29955805</c:v>
                </c:pt>
                <c:pt idx="11">
                  <c:v>217667.29955805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E0FF-4748-960B-6A85150FCB2A}"/>
            </c:ext>
          </c:extLst>
        </c:ser>
        <c:ser>
          <c:idx val="2"/>
          <c:order val="2"/>
          <c:tx>
            <c:v>REVISED CASH</c:v>
          </c:tx>
          <c:marker>
            <c:symbol val="none"/>
          </c:marker>
          <c:cat>
            <c:numRef>
              <c:f>'FY21'!$E$4:$P$4</c:f>
              <c:numCache>
                <c:formatCode>[$-409]mmm\-yy;@</c:formatCode>
                <c:ptCount val="12"/>
                <c:pt idx="0">
                  <c:v>44013</c:v>
                </c:pt>
                <c:pt idx="1">
                  <c:v>44044</c:v>
                </c:pt>
                <c:pt idx="2">
                  <c:v>44075</c:v>
                </c:pt>
                <c:pt idx="3">
                  <c:v>44106</c:v>
                </c:pt>
                <c:pt idx="4">
                  <c:v>44137</c:v>
                </c:pt>
                <c:pt idx="5">
                  <c:v>44168</c:v>
                </c:pt>
                <c:pt idx="6">
                  <c:v>44199</c:v>
                </c:pt>
                <c:pt idx="7">
                  <c:v>44230</c:v>
                </c:pt>
                <c:pt idx="8">
                  <c:v>44261</c:v>
                </c:pt>
                <c:pt idx="9">
                  <c:v>44292</c:v>
                </c:pt>
                <c:pt idx="10">
                  <c:v>44323</c:v>
                </c:pt>
                <c:pt idx="11">
                  <c:v>44354</c:v>
                </c:pt>
              </c:numCache>
            </c:numRef>
          </c:cat>
          <c:val>
            <c:numRef>
              <c:f>'Revised Budget'!$E$141:$P$141</c:f>
              <c:numCache>
                <c:formatCode>_("$"* #,##0_);_("$"* \(#,##0\);_("$"* "-"_);_(@_)</c:formatCode>
                <c:ptCount val="12"/>
                <c:pt idx="0">
                  <c:v>14526.741417572921</c:v>
                </c:pt>
                <c:pt idx="1">
                  <c:v>29053.482835145842</c:v>
                </c:pt>
                <c:pt idx="2">
                  <c:v>43580.224252718763</c:v>
                </c:pt>
                <c:pt idx="3">
                  <c:v>58106.965670291684</c:v>
                </c:pt>
                <c:pt idx="4">
                  <c:v>72633.707087864605</c:v>
                </c:pt>
                <c:pt idx="5">
                  <c:v>87160.448505437525</c:v>
                </c:pt>
                <c:pt idx="6">
                  <c:v>101687.18992301045</c:v>
                </c:pt>
                <c:pt idx="7">
                  <c:v>116213.93134058337</c:v>
                </c:pt>
                <c:pt idx="8">
                  <c:v>130740.67275815629</c:v>
                </c:pt>
                <c:pt idx="9">
                  <c:v>145267.41417572921</c:v>
                </c:pt>
                <c:pt idx="10">
                  <c:v>159794.15559330213</c:v>
                </c:pt>
                <c:pt idx="11">
                  <c:v>174320.89701087505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0FF-4748-960B-6A85150FCB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005608"/>
        <c:axId val="164002080"/>
        <c:extLst/>
      </c:lineChart>
      <c:dateAx>
        <c:axId val="164005608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low"/>
        <c:spPr>
          <a:ln w="3175">
            <a:solidFill>
              <a:schemeClr val="tx1"/>
            </a:solidFill>
            <a:prstDash val="solid"/>
          </a:ln>
        </c:spPr>
        <c:txPr>
          <a:bodyPr rot="-2700000" vert="horz"/>
          <a:lstStyle/>
          <a:p>
            <a:pPr>
              <a:defRPr sz="800"/>
            </a:pPr>
            <a:endParaRPr lang="en-US"/>
          </a:p>
        </c:txPr>
        <c:crossAx val="164002080"/>
        <c:crosses val="autoZero"/>
        <c:auto val="1"/>
        <c:lblOffset val="100"/>
        <c:baseTimeUnit val="months"/>
        <c:majorTimeUnit val="months"/>
        <c:minorUnit val="1"/>
        <c:minorTimeUnit val="months"/>
      </c:dateAx>
      <c:valAx>
        <c:axId val="164002080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>
                  <a:lumMod val="75000"/>
                  <a:lumOff val="25000"/>
                  <a:alpha val="70000"/>
                </a:schemeClr>
              </a:solidFill>
              <a:prstDash val="solid"/>
            </a:ln>
          </c:spPr>
        </c:majorGridlines>
        <c:numFmt formatCode="_(&quot;$&quot;* #,##0_);_(&quot;$&quot;* \(#,##0\);_(&quot;$&quot;* &quot;-&quot;_);_(@_)" sourceLinked="0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/>
            </a:pPr>
            <a:endParaRPr lang="en-US"/>
          </a:p>
        </c:txPr>
        <c:crossAx val="16400560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7.5135104008370234E-3"/>
                <c:y val="0.28299159115362843"/>
              </c:manualLayout>
            </c:layout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</c:dispUnitsLbl>
        </c:dispUnits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  <a:effectLst>
          <a:softEdge rad="63500"/>
        </a:effectLst>
        <a:scene3d>
          <a:camera prst="orthographicFront"/>
          <a:lightRig rig="threePt" dir="t"/>
        </a:scene3d>
        <a:sp3d prstMaterial="dkEdge">
          <a:bevelB/>
        </a:sp3d>
      </c:spPr>
    </c:plotArea>
    <c:legend>
      <c:legendPos val="b"/>
      <c:layout>
        <c:manualLayout>
          <c:xMode val="edge"/>
          <c:yMode val="edge"/>
          <c:x val="0.1441897571746274"/>
          <c:y val="0.88622634659159205"/>
          <c:w val="0.71020138951471312"/>
          <c:h val="0.11377365340840798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3175" cap="rnd" cmpd="sng">
      <a:solidFill>
        <a:schemeClr val="tx1"/>
      </a:solidFill>
      <a:prstDash val="solid"/>
      <a:miter lim="800000"/>
    </a:ln>
    <a:effectLst/>
    <a:scene3d>
      <a:camera prst="orthographicFront"/>
      <a:lightRig rig="threePt" dir="t"/>
    </a:scene3d>
    <a:sp3d/>
  </c:spPr>
  <c:txPr>
    <a:bodyPr/>
    <a:lstStyle/>
    <a:p>
      <a:pPr>
        <a:defRPr sz="7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70774773287445"/>
          <c:y val="0.10286382472829579"/>
          <c:w val="0.75190046653248055"/>
          <c:h val="0.62529323095039191"/>
        </c:manualLayout>
      </c:layout>
      <c:lineChart>
        <c:grouping val="standard"/>
        <c:varyColors val="0"/>
        <c:ser>
          <c:idx val="3"/>
          <c:order val="0"/>
          <c:tx>
            <c:v>Budget</c:v>
          </c:tx>
          <c:marker>
            <c:symbol val="none"/>
          </c:marker>
          <c:cat>
            <c:numRef>
              <c:f>'FY21'!$E$4:$P$4</c:f>
              <c:numCache>
                <c:formatCode>[$-409]mmm\-yy;@</c:formatCode>
                <c:ptCount val="12"/>
                <c:pt idx="0">
                  <c:v>44013</c:v>
                </c:pt>
                <c:pt idx="1">
                  <c:v>44044</c:v>
                </c:pt>
                <c:pt idx="2">
                  <c:v>44075</c:v>
                </c:pt>
                <c:pt idx="3">
                  <c:v>44106</c:v>
                </c:pt>
                <c:pt idx="4">
                  <c:v>44137</c:v>
                </c:pt>
                <c:pt idx="5">
                  <c:v>44168</c:v>
                </c:pt>
                <c:pt idx="6">
                  <c:v>44199</c:v>
                </c:pt>
                <c:pt idx="7">
                  <c:v>44230</c:v>
                </c:pt>
                <c:pt idx="8">
                  <c:v>44261</c:v>
                </c:pt>
                <c:pt idx="9">
                  <c:v>44292</c:v>
                </c:pt>
                <c:pt idx="10">
                  <c:v>44323</c:v>
                </c:pt>
                <c:pt idx="11">
                  <c:v>44354</c:v>
                </c:pt>
              </c:numCache>
            </c:numRef>
          </c:cat>
          <c:val>
            <c:numRef>
              <c:f>'Revised Budget'!$E$160:$P$160</c:f>
              <c:numCache>
                <c:formatCode>_(* #,##0_);_(* \(#,##0\);_(* "-"_);_(@_)</c:formatCode>
                <c:ptCount val="12"/>
                <c:pt idx="0">
                  <c:v>870</c:v>
                </c:pt>
                <c:pt idx="1">
                  <c:v>870</c:v>
                </c:pt>
                <c:pt idx="2">
                  <c:v>870</c:v>
                </c:pt>
                <c:pt idx="3">
                  <c:v>870</c:v>
                </c:pt>
                <c:pt idx="4">
                  <c:v>870</c:v>
                </c:pt>
                <c:pt idx="5">
                  <c:v>870</c:v>
                </c:pt>
                <c:pt idx="6">
                  <c:v>870</c:v>
                </c:pt>
                <c:pt idx="7">
                  <c:v>870</c:v>
                </c:pt>
                <c:pt idx="8">
                  <c:v>870</c:v>
                </c:pt>
                <c:pt idx="9">
                  <c:v>870</c:v>
                </c:pt>
                <c:pt idx="10">
                  <c:v>870</c:v>
                </c:pt>
                <c:pt idx="11">
                  <c:v>870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32-4323-9875-53615537A85E}"/>
            </c:ext>
          </c:extLst>
        </c:ser>
        <c:ser>
          <c:idx val="1"/>
          <c:order val="1"/>
          <c:tx>
            <c:v>Actual</c:v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'FY21'!$E$4:$P$4</c:f>
              <c:numCache>
                <c:formatCode>[$-409]mmm\-yy;@</c:formatCode>
                <c:ptCount val="12"/>
                <c:pt idx="0">
                  <c:v>44013</c:v>
                </c:pt>
                <c:pt idx="1">
                  <c:v>44044</c:v>
                </c:pt>
                <c:pt idx="2">
                  <c:v>44075</c:v>
                </c:pt>
                <c:pt idx="3">
                  <c:v>44106</c:v>
                </c:pt>
                <c:pt idx="4">
                  <c:v>44137</c:v>
                </c:pt>
                <c:pt idx="5">
                  <c:v>44168</c:v>
                </c:pt>
                <c:pt idx="6">
                  <c:v>44199</c:v>
                </c:pt>
                <c:pt idx="7">
                  <c:v>44230</c:v>
                </c:pt>
                <c:pt idx="8">
                  <c:v>44261</c:v>
                </c:pt>
                <c:pt idx="9">
                  <c:v>44292</c:v>
                </c:pt>
                <c:pt idx="10">
                  <c:v>44323</c:v>
                </c:pt>
                <c:pt idx="11">
                  <c:v>44354</c:v>
                </c:pt>
              </c:numCache>
            </c:numRef>
          </c:cat>
          <c:val>
            <c:numRef>
              <c:f>'Rev &amp; Enroll'!$Q$24:$AB$24</c:f>
              <c:numCache>
                <c:formatCode>_(* #,##0_);_(* \(#,##0\);_(* "-"_);_(@_)</c:formatCode>
                <c:ptCount val="12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1000</c:v>
                </c:pt>
                <c:pt idx="9">
                  <c:v>1000</c:v>
                </c:pt>
                <c:pt idx="10">
                  <c:v>1000</c:v>
                </c:pt>
                <c:pt idx="11">
                  <c:v>1000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32-4323-9875-53615537A8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000512"/>
        <c:axId val="164003256"/>
      </c:lineChart>
      <c:dateAx>
        <c:axId val="164000512"/>
        <c:scaling>
          <c:orientation val="minMax"/>
        </c:scaling>
        <c:delete val="1"/>
        <c:axPos val="b"/>
        <c:numFmt formatCode="[$-409]mmm\-yy;@" sourceLinked="0"/>
        <c:majorTickMark val="in"/>
        <c:minorTickMark val="none"/>
        <c:tickLblPos val="nextTo"/>
        <c:crossAx val="164003256"/>
        <c:crosses val="autoZero"/>
        <c:auto val="1"/>
        <c:lblOffset val="100"/>
        <c:baseTimeUnit val="months"/>
        <c:majorUnit val="1"/>
        <c:minorUnit val="1"/>
      </c:dateAx>
      <c:valAx>
        <c:axId val="164003256"/>
        <c:scaling>
          <c:orientation val="minMax"/>
          <c:min val="750"/>
        </c:scaling>
        <c:delete val="0"/>
        <c:axPos val="l"/>
        <c:majorGridlines>
          <c:spPr>
            <a:ln w="3175">
              <a:solidFill>
                <a:schemeClr val="tx1">
                  <a:lumMod val="65000"/>
                  <a:lumOff val="35000"/>
                </a:schemeClr>
              </a:solidFill>
              <a:prstDash val="solid"/>
            </a:ln>
          </c:spPr>
        </c:majorGridlines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chemeClr val="tx1">
                <a:lumMod val="75000"/>
                <a:lumOff val="2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b="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en-US"/>
          </a:p>
        </c:txPr>
        <c:crossAx val="164000512"/>
        <c:crosses val="autoZero"/>
        <c:crossBetween val="between"/>
      </c:valAx>
      <c:spPr>
        <a:solidFill>
          <a:schemeClr val="bg1">
            <a:alpha val="75000"/>
          </a:schemeClr>
        </a:solidFill>
        <a:ln w="3175">
          <a:solidFill>
            <a:schemeClr val="accent3">
              <a:lumMod val="50000"/>
            </a:schemeClr>
          </a:solidFill>
        </a:ln>
      </c:spPr>
    </c:plotArea>
    <c:legend>
      <c:legendPos val="l"/>
      <c:overlay val="0"/>
      <c:spPr>
        <a:solidFill>
          <a:srgbClr val="FFFFFF">
            <a:alpha val="75000"/>
          </a:srgbClr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>
              <a:solidFill>
                <a:schemeClr val="tx1">
                  <a:lumMod val="85000"/>
                  <a:lumOff val="15000"/>
                </a:schemeClr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3175" cap="sq" cmpd="sng">
      <a:solidFill>
        <a:schemeClr val="tx1"/>
      </a:solidFill>
      <a:prstDash val="solid"/>
      <a:bevel/>
    </a:ln>
    <a:effectLst/>
    <a:scene3d>
      <a:camera prst="orthographicFront"/>
      <a:lightRig rig="threePt" dir="t"/>
    </a:scene3d>
    <a:sp3d prstMaterial="matte"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88827</xdr:colOff>
      <xdr:row>47</xdr:row>
      <xdr:rowOff>168966</xdr:rowOff>
    </xdr:from>
    <xdr:to>
      <xdr:col>8</xdr:col>
      <xdr:colOff>159024</xdr:colOff>
      <xdr:row>55</xdr:row>
      <xdr:rowOff>43272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ABCD1FCF-FEAA-4782-8585-98F020DAF4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0.24236</cdr:x>
      <cdr:y>0.00316</cdr:y>
    </cdr:from>
    <cdr:to>
      <cdr:x>0.7615</cdr:x>
      <cdr:y>0.18771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00994" y="4016"/>
          <a:ext cx="2358353" cy="2345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lnSpc>
              <a:spcPts val="1500"/>
            </a:lnSpc>
            <a:defRPr sz="1000"/>
          </a:pPr>
          <a:r>
            <a:rPr lang="en-US" sz="1050" b="1" i="0" u="none" strike="noStrike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</a:rPr>
            <a:t>Budgeted Month-End Cash Balance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57768</xdr:colOff>
      <xdr:row>46</xdr:row>
      <xdr:rowOff>158047</xdr:rowOff>
    </xdr:from>
    <xdr:to>
      <xdr:col>10</xdr:col>
      <xdr:colOff>774010</xdr:colOff>
      <xdr:row>56</xdr:row>
      <xdr:rowOff>76200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A60EA5D7-3158-4410-BF73-5BD8D2EE4F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4</xdr:col>
      <xdr:colOff>1658</xdr:colOff>
      <xdr:row>4</xdr:row>
      <xdr:rowOff>163993</xdr:rowOff>
    </xdr:from>
    <xdr:to>
      <xdr:col>11</xdr:col>
      <xdr:colOff>1</xdr:colOff>
      <xdr:row>9</xdr:row>
      <xdr:rowOff>104363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7964B786-F740-4571-B71A-058953B72B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0.24236</cdr:x>
      <cdr:y>0.00316</cdr:y>
    </cdr:from>
    <cdr:to>
      <cdr:x>0.7615</cdr:x>
      <cdr:y>0.1388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14267" y="4595"/>
          <a:ext cx="3457809" cy="1971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lnSpc>
              <a:spcPts val="1500"/>
            </a:lnSpc>
            <a:defRPr sz="1000"/>
          </a:pPr>
          <a:r>
            <a:rPr lang="en-US" sz="1050" b="1" i="0" u="none" strike="noStrike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</a:rPr>
            <a:t>Month-End Cash Balance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J61"/>
  <sheetViews>
    <sheetView tabSelected="1" workbookViewId="0">
      <selection sqref="A1:XFD1048576"/>
    </sheetView>
  </sheetViews>
  <sheetFormatPr defaultColWidth="8.85546875" defaultRowHeight="12.75" x14ac:dyDescent="0.2"/>
  <cols>
    <col min="1" max="1" width="1.7109375" style="119" customWidth="1"/>
    <col min="2" max="2" width="1.5703125" style="119" customWidth="1"/>
    <col min="3" max="3" width="27.140625" style="119" customWidth="1"/>
    <col min="4" max="4" width="1.28515625" style="119" customWidth="1"/>
    <col min="5" max="5" width="17.7109375" style="119" customWidth="1"/>
    <col min="6" max="6" width="14.42578125" style="119" hidden="1" customWidth="1"/>
    <col min="7" max="8" width="17.7109375" style="119" customWidth="1"/>
    <col min="9" max="9" width="3.7109375" style="119" customWidth="1"/>
    <col min="10" max="12" width="8.85546875" style="119"/>
    <col min="13" max="15" width="9.85546875" style="119" customWidth="1"/>
    <col min="16" max="16" width="8.85546875" style="119"/>
    <col min="17" max="17" width="21.28515625" style="119" customWidth="1"/>
    <col min="18" max="18" width="1.7109375" style="119" customWidth="1"/>
    <col min="19" max="23" width="12.7109375" style="119" customWidth="1"/>
    <col min="24" max="16384" width="8.85546875" style="119"/>
  </cols>
  <sheetData>
    <row r="1" spans="1:10" s="1" customFormat="1" ht="23.25" x14ac:dyDescent="0.35">
      <c r="A1" s="197" t="str">
        <f>'Rev &amp; Enroll'!$F$5</f>
        <v>Nevada State High School (CSO)</v>
      </c>
      <c r="B1" s="81"/>
      <c r="C1" s="17"/>
      <c r="E1" s="2"/>
      <c r="H1" s="2"/>
      <c r="J1" s="2"/>
    </row>
    <row r="2" spans="1:10" s="1" customFormat="1" ht="15.75" x14ac:dyDescent="0.25">
      <c r="A2" s="198" t="str">
        <f>CONCATENATE('Rev &amp; Enroll'!F7," ","Budget Summary")</f>
        <v>FY21 Budget Summary</v>
      </c>
      <c r="B2" s="82"/>
      <c r="C2" s="17"/>
      <c r="D2" s="13"/>
      <c r="E2" s="2"/>
      <c r="H2" s="2"/>
      <c r="J2" s="2"/>
    </row>
    <row r="3" spans="1:10" s="6" customFormat="1" ht="13.5" customHeight="1" x14ac:dyDescent="0.2">
      <c r="A3" s="5" t="str">
        <f>'FY21'!A3</f>
        <v>Board Approved: Proposed: 4/16/2020</v>
      </c>
      <c r="B3" s="83"/>
      <c r="C3" s="17"/>
      <c r="E3" s="7"/>
      <c r="H3" s="7"/>
      <c r="J3" s="224"/>
    </row>
    <row r="4" spans="1:10" s="6" customFormat="1" ht="13.5" customHeight="1" x14ac:dyDescent="0.2">
      <c r="A4" s="5"/>
      <c r="B4" s="83"/>
      <c r="C4" s="17"/>
      <c r="E4" s="7"/>
      <c r="H4" s="7"/>
      <c r="J4" s="224"/>
    </row>
    <row r="5" spans="1:10" s="6" customFormat="1" ht="13.5" customHeight="1" x14ac:dyDescent="0.2">
      <c r="A5" s="5"/>
      <c r="B5" s="83"/>
      <c r="C5" s="17"/>
      <c r="E5" s="7"/>
      <c r="H5" s="7"/>
      <c r="J5" s="224"/>
    </row>
    <row r="6" spans="1:10" x14ac:dyDescent="0.2">
      <c r="A6" s="120"/>
      <c r="C6" s="226"/>
      <c r="D6" s="226"/>
      <c r="E6" s="226"/>
      <c r="F6" s="226"/>
      <c r="G6" s="226"/>
      <c r="H6" s="226"/>
    </row>
    <row r="7" spans="1:10" x14ac:dyDescent="0.2">
      <c r="A7" s="121"/>
      <c r="B7" s="122"/>
      <c r="C7" s="226"/>
      <c r="D7" s="226"/>
      <c r="E7" s="225" t="s">
        <v>610</v>
      </c>
      <c r="F7" s="225" t="str">
        <f>MYP!E4</f>
        <v>FY21</v>
      </c>
      <c r="G7" s="225" t="str">
        <f>MYP!E4</f>
        <v>FY21</v>
      </c>
      <c r="H7" s="702" t="s">
        <v>147</v>
      </c>
      <c r="J7" s="229" t="s">
        <v>356</v>
      </c>
    </row>
    <row r="8" spans="1:10" x14ac:dyDescent="0.2">
      <c r="A8" s="121"/>
      <c r="B8" s="122"/>
      <c r="C8" s="226"/>
      <c r="D8" s="226"/>
      <c r="E8" s="126" t="s">
        <v>521</v>
      </c>
      <c r="F8" s="126" t="s">
        <v>500</v>
      </c>
      <c r="G8" s="126" t="s">
        <v>591</v>
      </c>
      <c r="H8" s="703"/>
    </row>
    <row r="9" spans="1:10" s="229" customFormat="1" ht="14.85" customHeight="1" x14ac:dyDescent="0.2">
      <c r="A9" s="228"/>
      <c r="B9" s="227" t="s">
        <v>142</v>
      </c>
      <c r="D9" s="230"/>
      <c r="E9" s="373">
        <v>886.5</v>
      </c>
      <c r="F9" s="231">
        <f>735+55+80</f>
        <v>870</v>
      </c>
      <c r="G9" s="231">
        <f>AVERAGE('Rev &amp; Enroll'!W24:AB24)</f>
        <v>1000</v>
      </c>
      <c r="H9" s="231">
        <f>+G9-E9</f>
        <v>113.5</v>
      </c>
    </row>
    <row r="10" spans="1:10" x14ac:dyDescent="0.2">
      <c r="B10" s="124" t="s">
        <v>148</v>
      </c>
      <c r="C10" s="125"/>
      <c r="D10" s="125"/>
      <c r="E10" s="128"/>
      <c r="F10" s="129"/>
      <c r="G10" s="129"/>
      <c r="H10" s="130"/>
    </row>
    <row r="11" spans="1:10" x14ac:dyDescent="0.2">
      <c r="B11" s="124"/>
      <c r="C11" s="131" t="s">
        <v>171</v>
      </c>
      <c r="D11" s="131"/>
      <c r="E11" s="102">
        <v>1568149.7631999999</v>
      </c>
      <c r="F11" s="171">
        <f>'Revised Budget'!S13</f>
        <v>1587602.68</v>
      </c>
      <c r="G11" s="171">
        <f>'FY21'!S13</f>
        <v>1801433.9951999998</v>
      </c>
      <c r="H11" s="103">
        <f>G11-E11</f>
        <v>233284.23199999984</v>
      </c>
    </row>
    <row r="12" spans="1:10" x14ac:dyDescent="0.2">
      <c r="B12" s="124"/>
      <c r="C12" s="125" t="s">
        <v>170</v>
      </c>
      <c r="D12" s="125"/>
      <c r="E12" s="105">
        <v>0</v>
      </c>
      <c r="F12" s="172">
        <f>'Revised Budget'!S17</f>
        <v>0</v>
      </c>
      <c r="G12" s="172">
        <f>'FY21'!S17</f>
        <v>0</v>
      </c>
      <c r="H12" s="106">
        <f>G12-E12</f>
        <v>0</v>
      </c>
    </row>
    <row r="13" spans="1:10" x14ac:dyDescent="0.2">
      <c r="B13" s="124"/>
      <c r="C13" s="131" t="s">
        <v>149</v>
      </c>
      <c r="D13" s="131"/>
      <c r="E13" s="108">
        <v>51036.990000000005</v>
      </c>
      <c r="F13" s="152">
        <f>'Revised Budget'!S22</f>
        <v>46420.94</v>
      </c>
      <c r="G13" s="152">
        <f>'FY21'!S22</f>
        <v>35237.24</v>
      </c>
      <c r="H13" s="109">
        <f>G13-E13</f>
        <v>-15799.750000000007</v>
      </c>
      <c r="I13" s="110"/>
    </row>
    <row r="14" spans="1:10" ht="15" x14ac:dyDescent="0.35">
      <c r="B14" s="124"/>
      <c r="C14" s="132" t="s">
        <v>150</v>
      </c>
      <c r="D14" s="132"/>
      <c r="E14" s="111">
        <v>292149</v>
      </c>
      <c r="F14" s="173">
        <f>'Revised Budget'!S25</f>
        <v>508590</v>
      </c>
      <c r="G14" s="173">
        <f>'FY21'!S25</f>
        <v>358560</v>
      </c>
      <c r="H14" s="112">
        <f>G14-E14</f>
        <v>66411</v>
      </c>
      <c r="I14" s="110"/>
    </row>
    <row r="15" spans="1:10" ht="5.0999999999999996" customHeight="1" x14ac:dyDescent="0.2">
      <c r="B15" s="124"/>
      <c r="C15" s="125"/>
      <c r="D15" s="125"/>
      <c r="E15" s="108"/>
      <c r="F15" s="152"/>
      <c r="G15" s="152"/>
      <c r="H15" s="109"/>
      <c r="I15" s="110"/>
    </row>
    <row r="16" spans="1:10" s="120" customFormat="1" ht="15" x14ac:dyDescent="0.35">
      <c r="C16" s="124" t="s">
        <v>105</v>
      </c>
      <c r="D16" s="124"/>
      <c r="E16" s="133">
        <v>1911335.7531999999</v>
      </c>
      <c r="F16" s="174">
        <f>SUM(F11:F14)</f>
        <v>2142613.62</v>
      </c>
      <c r="G16" s="174">
        <f>SUM(G11:G14)</f>
        <v>2195231.2352</v>
      </c>
      <c r="H16" s="134">
        <f>SUM(H11:H14)</f>
        <v>283895.48199999984</v>
      </c>
      <c r="I16" s="136"/>
    </row>
    <row r="17" spans="2:9" ht="5.0999999999999996" customHeight="1" x14ac:dyDescent="0.2">
      <c r="B17" s="120"/>
      <c r="E17" s="108"/>
      <c r="F17" s="152"/>
      <c r="G17" s="152"/>
      <c r="H17" s="109"/>
      <c r="I17" s="110"/>
    </row>
    <row r="18" spans="2:9" x14ac:dyDescent="0.2">
      <c r="B18" s="120" t="s">
        <v>59</v>
      </c>
      <c r="E18" s="114"/>
      <c r="F18" s="153"/>
      <c r="G18" s="153"/>
      <c r="H18" s="115"/>
      <c r="I18" s="110"/>
    </row>
    <row r="19" spans="2:9" x14ac:dyDescent="0.2">
      <c r="B19" s="120"/>
      <c r="C19" s="119" t="s">
        <v>174</v>
      </c>
      <c r="E19" s="114">
        <v>909536.16399999987</v>
      </c>
      <c r="F19" s="153">
        <f>'Revised Budget'!S41</f>
        <v>969843.06141666661</v>
      </c>
      <c r="G19" s="153">
        <f>'FY21'!S41</f>
        <v>1192442.9889999998</v>
      </c>
      <c r="H19" s="103">
        <f t="shared" ref="H19:H27" si="0">G19-E19</f>
        <v>282906.82499999995</v>
      </c>
      <c r="I19" s="110"/>
    </row>
    <row r="20" spans="2:9" x14ac:dyDescent="0.2">
      <c r="B20" s="120"/>
      <c r="C20" s="119" t="s">
        <v>173</v>
      </c>
      <c r="E20" s="108">
        <v>253067.54903721873</v>
      </c>
      <c r="F20" s="152">
        <f>'Revised Budget'!S62</f>
        <v>291567.04157245834</v>
      </c>
      <c r="G20" s="152">
        <f>'FY21'!S62</f>
        <v>344106.77658050007</v>
      </c>
      <c r="H20" s="109">
        <f t="shared" si="0"/>
        <v>91039.227543281333</v>
      </c>
      <c r="I20" s="110"/>
    </row>
    <row r="21" spans="2:9" x14ac:dyDescent="0.2">
      <c r="B21" s="120"/>
      <c r="C21" s="137" t="s">
        <v>175</v>
      </c>
      <c r="D21" s="137"/>
      <c r="E21" s="108">
        <v>264264.29749999999</v>
      </c>
      <c r="F21" s="152">
        <f>'Revised Budget'!S74</f>
        <v>303271</v>
      </c>
      <c r="G21" s="152">
        <f>'FY21'!S74</f>
        <v>264656.24</v>
      </c>
      <c r="H21" s="109">
        <f t="shared" si="0"/>
        <v>391.94250000000466</v>
      </c>
      <c r="I21" s="110"/>
    </row>
    <row r="22" spans="2:9" x14ac:dyDescent="0.2">
      <c r="C22" s="137" t="s">
        <v>172</v>
      </c>
      <c r="D22" s="137"/>
      <c r="E22" s="108">
        <v>93986.693333333329</v>
      </c>
      <c r="F22" s="152">
        <f>'Revised Budget'!S80</f>
        <v>129918.00000000001</v>
      </c>
      <c r="G22" s="152">
        <f>'FY21'!S80</f>
        <v>109976</v>
      </c>
      <c r="H22" s="109">
        <f t="shared" si="0"/>
        <v>15989.306666666671</v>
      </c>
      <c r="I22" s="110"/>
    </row>
    <row r="23" spans="2:9" x14ac:dyDescent="0.2">
      <c r="C23" s="137" t="s">
        <v>101</v>
      </c>
      <c r="D23" s="137"/>
      <c r="E23" s="108">
        <v>214412.34</v>
      </c>
      <c r="F23" s="152">
        <f>'Revised Budget'!S94</f>
        <v>183915.94</v>
      </c>
      <c r="G23" s="152">
        <f>'FY21'!S94</f>
        <v>188714.99</v>
      </c>
      <c r="H23" s="109">
        <f t="shared" si="0"/>
        <v>-25697.350000000006</v>
      </c>
      <c r="I23" s="110"/>
    </row>
    <row r="24" spans="2:9" x14ac:dyDescent="0.2">
      <c r="C24" s="137" t="s">
        <v>102</v>
      </c>
      <c r="D24" s="137"/>
      <c r="E24" s="108">
        <v>107105.45999999999</v>
      </c>
      <c r="F24" s="152">
        <f>'Revised Budget'!S103</f>
        <v>68696</v>
      </c>
      <c r="G24" s="152">
        <f>'FY21'!S103</f>
        <v>59733</v>
      </c>
      <c r="H24" s="109">
        <f t="shared" si="0"/>
        <v>-47372.459999999992</v>
      </c>
      <c r="I24" s="110"/>
    </row>
    <row r="25" spans="2:9" x14ac:dyDescent="0.2">
      <c r="C25" s="137" t="s">
        <v>103</v>
      </c>
      <c r="D25" s="137"/>
      <c r="E25" s="108">
        <v>0</v>
      </c>
      <c r="F25" s="152">
        <f>'Revised Budget'!S106</f>
        <v>0</v>
      </c>
      <c r="G25" s="152">
        <f>'FY21'!S106</f>
        <v>0</v>
      </c>
      <c r="H25" s="109">
        <f t="shared" si="0"/>
        <v>0</v>
      </c>
      <c r="I25" s="110"/>
    </row>
    <row r="26" spans="2:9" x14ac:dyDescent="0.2">
      <c r="C26" s="137" t="s">
        <v>104</v>
      </c>
      <c r="D26" s="137"/>
      <c r="E26" s="108">
        <v>17926.380000000008</v>
      </c>
      <c r="F26" s="152">
        <f>'Revised Budget'!S109</f>
        <v>21079</v>
      </c>
      <c r="G26" s="152">
        <f>'FY21'!S109</f>
        <v>17043</v>
      </c>
      <c r="H26" s="109">
        <f t="shared" si="0"/>
        <v>-883.38000000000829</v>
      </c>
      <c r="I26" s="110"/>
    </row>
    <row r="27" spans="2:9" ht="15" x14ac:dyDescent="0.35">
      <c r="C27" s="137" t="s">
        <v>43</v>
      </c>
      <c r="D27" s="137"/>
      <c r="E27" s="111">
        <v>0</v>
      </c>
      <c r="F27" s="173">
        <f>'Revised Budget'!S113</f>
        <v>0</v>
      </c>
      <c r="G27" s="173">
        <f>'FY21'!S113</f>
        <v>0</v>
      </c>
      <c r="H27" s="112">
        <f t="shared" si="0"/>
        <v>0</v>
      </c>
      <c r="I27" s="110"/>
    </row>
    <row r="28" spans="2:9" ht="5.0999999999999996" customHeight="1" x14ac:dyDescent="0.2">
      <c r="E28" s="108"/>
      <c r="F28" s="152"/>
      <c r="G28" s="152"/>
      <c r="H28" s="109"/>
      <c r="I28" s="110"/>
    </row>
    <row r="29" spans="2:9" s="120" customFormat="1" ht="15" x14ac:dyDescent="0.35">
      <c r="C29" s="124" t="s">
        <v>107</v>
      </c>
      <c r="D29" s="124"/>
      <c r="E29" s="133">
        <v>1860299</v>
      </c>
      <c r="F29" s="174">
        <f>ROUND(SUM(F19:F28),0)</f>
        <v>1968290</v>
      </c>
      <c r="G29" s="174">
        <f>ROUND(SUM(G19:G28),0)</f>
        <v>2176673</v>
      </c>
      <c r="H29" s="134">
        <f>SUM(H19:H28)</f>
        <v>316374.11170994805</v>
      </c>
      <c r="I29" s="136"/>
    </row>
    <row r="30" spans="2:9" x14ac:dyDescent="0.2">
      <c r="B30" s="124"/>
      <c r="C30" s="125"/>
      <c r="D30" s="125"/>
      <c r="E30" s="138"/>
      <c r="F30" s="236"/>
      <c r="G30" s="236"/>
      <c r="H30" s="139"/>
    </row>
    <row r="31" spans="2:9" s="141" customFormat="1" x14ac:dyDescent="0.2">
      <c r="C31" s="141" t="s">
        <v>151</v>
      </c>
      <c r="E31" s="138">
        <v>51036.753199999919</v>
      </c>
      <c r="F31" s="236">
        <f>F16-F29</f>
        <v>174323.62000000011</v>
      </c>
      <c r="G31" s="236">
        <f>G16-G29</f>
        <v>18558.235199999996</v>
      </c>
      <c r="H31" s="139">
        <f>H16-H29</f>
        <v>-32478.629709948204</v>
      </c>
    </row>
    <row r="32" spans="2:9" s="141" customFormat="1" ht="5.0999999999999996" customHeight="1" x14ac:dyDescent="0.2">
      <c r="E32" s="142"/>
      <c r="F32" s="234"/>
      <c r="G32" s="234"/>
      <c r="H32" s="143"/>
    </row>
    <row r="33" spans="2:10" s="141" customFormat="1" x14ac:dyDescent="0.2">
      <c r="C33" s="144" t="s">
        <v>152</v>
      </c>
      <c r="E33" s="145">
        <v>926363</v>
      </c>
      <c r="F33" s="237">
        <f>+E33</f>
        <v>926363</v>
      </c>
      <c r="G33" s="237">
        <f>E34</f>
        <v>977399.75319999992</v>
      </c>
      <c r="H33" s="143"/>
    </row>
    <row r="34" spans="2:10" s="141" customFormat="1" ht="18" customHeight="1" x14ac:dyDescent="0.2">
      <c r="C34" s="147" t="s">
        <v>153</v>
      </c>
      <c r="E34" s="148">
        <v>977399.75319999992</v>
      </c>
      <c r="F34" s="233">
        <f>F31+F33</f>
        <v>1100686.6200000001</v>
      </c>
      <c r="G34" s="233">
        <f>G31+G33</f>
        <v>995957.98839999991</v>
      </c>
      <c r="H34" s="143"/>
    </row>
    <row r="35" spans="2:10" s="141" customFormat="1" ht="6.6" customHeight="1" x14ac:dyDescent="0.2">
      <c r="C35" s="147"/>
      <c r="E35" s="238"/>
      <c r="F35" s="239"/>
      <c r="G35" s="239"/>
      <c r="H35" s="240"/>
    </row>
    <row r="36" spans="2:10" s="141" customFormat="1" x14ac:dyDescent="0.2">
      <c r="C36" s="147"/>
      <c r="D36" s="232"/>
      <c r="E36" s="235"/>
      <c r="F36" s="235"/>
      <c r="G36" s="235"/>
      <c r="H36" s="232"/>
    </row>
    <row r="37" spans="2:10" s="141" customFormat="1" x14ac:dyDescent="0.2">
      <c r="B37" s="241"/>
      <c r="C37" s="119"/>
      <c r="D37" s="119"/>
      <c r="E37" s="659" t="str">
        <f>E7</f>
        <v>FY20</v>
      </c>
      <c r="F37" s="659" t="str">
        <f>F7</f>
        <v>FY21</v>
      </c>
      <c r="G37" s="659" t="str">
        <f>G7</f>
        <v>FY21</v>
      </c>
      <c r="H37" s="232"/>
    </row>
    <row r="38" spans="2:10" s="141" customFormat="1" x14ac:dyDescent="0.2">
      <c r="B38" s="241" t="s">
        <v>178</v>
      </c>
      <c r="C38" s="119"/>
      <c r="D38" s="119"/>
      <c r="E38" s="660" t="str">
        <f>E8</f>
        <v>FINAL</v>
      </c>
      <c r="F38" s="660" t="str">
        <f t="shared" ref="F38" si="1">F8</f>
        <v>REVISED</v>
      </c>
      <c r="G38" s="669" t="str">
        <f>G8</f>
        <v>TENATIVE</v>
      </c>
      <c r="H38" s="232"/>
    </row>
    <row r="39" spans="2:10" s="141" customFormat="1" x14ac:dyDescent="0.2">
      <c r="B39" s="242" t="s">
        <v>250</v>
      </c>
      <c r="C39" s="119"/>
      <c r="D39" s="119"/>
      <c r="E39" s="602">
        <f>('Original Budget'!P141+E33)/('Original Budget'!S115-'Original Budget'!S112)*365</f>
        <v>202.39164143701731</v>
      </c>
      <c r="F39" s="603">
        <f>('Revised Budget'!P141+E33)/('Revised Budget'!S115-'Revised Budget'!S112)*365</f>
        <v>204.1109865082974</v>
      </c>
      <c r="G39" s="602">
        <f>('FY21'!P141+E33)/('FY21'!S115-'FY21'!S112)*365</f>
        <v>158.45111009388739</v>
      </c>
      <c r="H39" s="232"/>
      <c r="J39" s="141" t="s">
        <v>357</v>
      </c>
    </row>
    <row r="40" spans="2:10" s="141" customFormat="1" x14ac:dyDescent="0.2">
      <c r="B40" s="242" t="s">
        <v>179</v>
      </c>
      <c r="C40" s="119" t="s">
        <v>590</v>
      </c>
      <c r="D40" s="119"/>
      <c r="E40" s="661">
        <v>1000</v>
      </c>
      <c r="F40" s="661">
        <v>1250</v>
      </c>
      <c r="G40" s="661">
        <v>1250</v>
      </c>
      <c r="H40" s="232"/>
      <c r="I40" s="232"/>
      <c r="J40" s="141" t="s">
        <v>358</v>
      </c>
    </row>
    <row r="41" spans="2:10" s="141" customFormat="1" x14ac:dyDescent="0.2">
      <c r="B41" s="242" t="s">
        <v>179</v>
      </c>
      <c r="C41" s="119"/>
      <c r="D41" s="119"/>
      <c r="E41" s="599">
        <f>E9/E40</f>
        <v>0.88649999999999995</v>
      </c>
      <c r="F41" s="599">
        <f>F9/F40</f>
        <v>0.69599999999999995</v>
      </c>
      <c r="G41" s="599">
        <f>G9/G40</f>
        <v>0.8</v>
      </c>
      <c r="H41" s="232"/>
      <c r="I41" s="232"/>
      <c r="J41" s="141" t="s">
        <v>358</v>
      </c>
    </row>
    <row r="42" spans="2:10" s="141" customFormat="1" x14ac:dyDescent="0.2">
      <c r="B42" s="242" t="s">
        <v>180</v>
      </c>
      <c r="C42" s="119"/>
      <c r="D42" s="119"/>
      <c r="E42" s="601">
        <f>E31/E16</f>
        <v>2.670213912681384E-2</v>
      </c>
      <c r="F42" s="604">
        <f>F31/F16</f>
        <v>8.1360268773051164E-2</v>
      </c>
      <c r="G42" s="601">
        <f>G31/G16</f>
        <v>8.4538862705774223E-3</v>
      </c>
      <c r="H42" s="232"/>
      <c r="I42" s="232"/>
      <c r="J42" s="141" t="s">
        <v>358</v>
      </c>
    </row>
    <row r="43" spans="2:10" s="141" customFormat="1" x14ac:dyDescent="0.2">
      <c r="B43" s="242" t="s">
        <v>181</v>
      </c>
      <c r="C43" s="119"/>
      <c r="D43" s="119"/>
      <c r="E43" s="598" t="s">
        <v>338</v>
      </c>
      <c r="F43" s="605" t="s">
        <v>338</v>
      </c>
      <c r="G43" s="598" t="s">
        <v>338</v>
      </c>
      <c r="H43" s="232"/>
      <c r="I43" s="232"/>
      <c r="J43" s="141" t="s">
        <v>359</v>
      </c>
    </row>
    <row r="44" spans="2:10" s="141" customFormat="1" x14ac:dyDescent="0.2">
      <c r="B44" s="242" t="s">
        <v>182</v>
      </c>
      <c r="C44" s="119"/>
      <c r="D44" s="119"/>
      <c r="E44" s="598" t="s">
        <v>338</v>
      </c>
      <c r="F44" s="605" t="s">
        <v>338</v>
      </c>
      <c r="G44" s="598" t="s">
        <v>338</v>
      </c>
      <c r="H44" s="232"/>
      <c r="I44" s="232"/>
      <c r="J44" s="141" t="s">
        <v>360</v>
      </c>
    </row>
    <row r="45" spans="2:10" ht="5.0999999999999996" customHeight="1" x14ac:dyDescent="0.2">
      <c r="E45" s="606"/>
      <c r="F45" s="150"/>
      <c r="G45" s="150"/>
      <c r="H45" s="232"/>
    </row>
    <row r="46" spans="2:10" ht="5.0999999999999996" customHeight="1" x14ac:dyDescent="0.2">
      <c r="E46" s="232"/>
      <c r="F46" s="232"/>
      <c r="G46" s="232"/>
      <c r="H46" s="232"/>
    </row>
    <row r="47" spans="2:10" ht="5.0999999999999996" customHeight="1" x14ac:dyDescent="0.2">
      <c r="E47" s="232"/>
      <c r="F47" s="232"/>
      <c r="G47" s="232"/>
      <c r="H47" s="232"/>
    </row>
    <row r="48" spans="2:10" ht="15" customHeight="1" x14ac:dyDescent="0.2">
      <c r="E48" s="232"/>
      <c r="F48" s="232"/>
      <c r="G48" s="232"/>
      <c r="H48" s="232"/>
    </row>
    <row r="56" spans="3:4" x14ac:dyDescent="0.2">
      <c r="C56" s="151"/>
      <c r="D56" s="151"/>
    </row>
    <row r="57" spans="3:4" x14ac:dyDescent="0.2">
      <c r="C57" s="151"/>
      <c r="D57" s="151"/>
    </row>
    <row r="58" spans="3:4" x14ac:dyDescent="0.2">
      <c r="C58" s="151"/>
      <c r="D58" s="151"/>
    </row>
    <row r="59" spans="3:4" x14ac:dyDescent="0.2">
      <c r="C59" s="151"/>
      <c r="D59" s="151"/>
    </row>
    <row r="60" spans="3:4" x14ac:dyDescent="0.2">
      <c r="C60" s="151"/>
      <c r="D60" s="151"/>
    </row>
    <row r="61" spans="3:4" ht="5.0999999999999996" customHeight="1" x14ac:dyDescent="0.2"/>
  </sheetData>
  <sheetProtection algorithmName="SHA-512" hashValue="L7p1iiAPyIo/wVcPiZiDf7+vNIHiQ6CokoMzJJ4FqMC6of7M8ZqZfwMRH7RdJNHh6lTNUFM/RBhI0pgAs+3Mpw==" saltValue="efuqzOANL90STBztbKtlWA==" spinCount="100000" sheet="1" objects="1" scenarios="1" selectLockedCells="1"/>
  <mergeCells count="1">
    <mergeCell ref="H7:H8"/>
  </mergeCells>
  <printOptions horizontalCentered="1"/>
  <pageMargins left="0.3" right="0.2" top="0.35" bottom="0.2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/>
  </sheetPr>
  <dimension ref="A1:D90"/>
  <sheetViews>
    <sheetView workbookViewId="0"/>
  </sheetViews>
  <sheetFormatPr defaultRowHeight="15" x14ac:dyDescent="0.25"/>
  <cols>
    <col min="1" max="1" width="9.140625" style="575"/>
    <col min="4" max="4" width="106.5703125" customWidth="1"/>
  </cols>
  <sheetData>
    <row r="1" spans="1:4" x14ac:dyDescent="0.25">
      <c r="B1" t="s">
        <v>388</v>
      </c>
    </row>
    <row r="2" spans="1:4" x14ac:dyDescent="0.25">
      <c r="A2" s="575" t="s">
        <v>389</v>
      </c>
      <c r="B2" t="s">
        <v>390</v>
      </c>
    </row>
    <row r="3" spans="1:4" x14ac:dyDescent="0.25">
      <c r="B3" s="575" t="s">
        <v>391</v>
      </c>
      <c r="C3" t="s">
        <v>392</v>
      </c>
    </row>
    <row r="4" spans="1:4" x14ac:dyDescent="0.25">
      <c r="B4" s="575" t="s">
        <v>393</v>
      </c>
      <c r="C4" t="s">
        <v>394</v>
      </c>
    </row>
    <row r="5" spans="1:4" x14ac:dyDescent="0.25">
      <c r="B5" s="575" t="s">
        <v>395</v>
      </c>
      <c r="C5" t="s">
        <v>396</v>
      </c>
    </row>
    <row r="6" spans="1:4" x14ac:dyDescent="0.25">
      <c r="B6" s="575" t="s">
        <v>397</v>
      </c>
      <c r="C6" t="s">
        <v>398</v>
      </c>
    </row>
    <row r="7" spans="1:4" x14ac:dyDescent="0.25">
      <c r="B7" t="s">
        <v>399</v>
      </c>
      <c r="C7" t="s">
        <v>400</v>
      </c>
    </row>
    <row r="8" spans="1:4" x14ac:dyDescent="0.25">
      <c r="A8" s="575" t="s">
        <v>401</v>
      </c>
      <c r="B8" t="s">
        <v>402</v>
      </c>
    </row>
    <row r="9" spans="1:4" x14ac:dyDescent="0.25">
      <c r="B9" s="575" t="s">
        <v>391</v>
      </c>
      <c r="C9" t="s">
        <v>403</v>
      </c>
    </row>
    <row r="10" spans="1:4" x14ac:dyDescent="0.25">
      <c r="B10" s="575" t="s">
        <v>393</v>
      </c>
      <c r="C10" t="s">
        <v>404</v>
      </c>
    </row>
    <row r="11" spans="1:4" x14ac:dyDescent="0.25">
      <c r="A11" s="575" t="s">
        <v>405</v>
      </c>
      <c r="B11" t="s">
        <v>406</v>
      </c>
    </row>
    <row r="12" spans="1:4" x14ac:dyDescent="0.25">
      <c r="B12" s="575" t="s">
        <v>391</v>
      </c>
      <c r="C12" t="s">
        <v>407</v>
      </c>
    </row>
    <row r="13" spans="1:4" x14ac:dyDescent="0.25">
      <c r="B13" s="575" t="s">
        <v>393</v>
      </c>
      <c r="C13" t="s">
        <v>408</v>
      </c>
    </row>
    <row r="14" spans="1:4" x14ac:dyDescent="0.25">
      <c r="C14" s="575">
        <v>1</v>
      </c>
      <c r="D14" t="s">
        <v>409</v>
      </c>
    </row>
    <row r="15" spans="1:4" x14ac:dyDescent="0.25">
      <c r="C15" s="575"/>
      <c r="D15" t="s">
        <v>410</v>
      </c>
    </row>
    <row r="16" spans="1:4" x14ac:dyDescent="0.25">
      <c r="C16" s="575">
        <v>2</v>
      </c>
      <c r="D16" t="s">
        <v>411</v>
      </c>
    </row>
    <row r="17" spans="1:4" x14ac:dyDescent="0.25">
      <c r="C17" s="575">
        <v>3</v>
      </c>
      <c r="D17" t="s">
        <v>412</v>
      </c>
    </row>
    <row r="18" spans="1:4" x14ac:dyDescent="0.25">
      <c r="C18" s="575">
        <v>4</v>
      </c>
      <c r="D18" t="s">
        <v>413</v>
      </c>
    </row>
    <row r="19" spans="1:4" x14ac:dyDescent="0.25">
      <c r="C19" s="575">
        <v>5</v>
      </c>
      <c r="D19" t="s">
        <v>414</v>
      </c>
    </row>
    <row r="20" spans="1:4" x14ac:dyDescent="0.25">
      <c r="D20" t="s">
        <v>415</v>
      </c>
    </row>
    <row r="21" spans="1:4" x14ac:dyDescent="0.25">
      <c r="D21" t="s">
        <v>416</v>
      </c>
    </row>
    <row r="22" spans="1:4" x14ac:dyDescent="0.25">
      <c r="A22" s="575" t="s">
        <v>417</v>
      </c>
      <c r="B22" t="s">
        <v>418</v>
      </c>
    </row>
    <row r="23" spans="1:4" x14ac:dyDescent="0.25">
      <c r="B23" s="575" t="s">
        <v>391</v>
      </c>
      <c r="C23" t="s">
        <v>419</v>
      </c>
    </row>
    <row r="24" spans="1:4" x14ac:dyDescent="0.25">
      <c r="B24" s="575" t="s">
        <v>393</v>
      </c>
      <c r="C24" t="s">
        <v>420</v>
      </c>
    </row>
    <row r="25" spans="1:4" x14ac:dyDescent="0.25">
      <c r="B25" s="575"/>
      <c r="C25" t="s">
        <v>421</v>
      </c>
    </row>
    <row r="26" spans="1:4" x14ac:dyDescent="0.25">
      <c r="B26" s="575" t="s">
        <v>422</v>
      </c>
      <c r="C26" t="s">
        <v>423</v>
      </c>
    </row>
    <row r="27" spans="1:4" x14ac:dyDescent="0.25">
      <c r="B27" s="575"/>
      <c r="C27" s="575">
        <v>1</v>
      </c>
      <c r="D27" t="s">
        <v>424</v>
      </c>
    </row>
    <row r="28" spans="1:4" x14ac:dyDescent="0.25">
      <c r="B28" s="575"/>
      <c r="C28" s="575">
        <v>2</v>
      </c>
      <c r="D28" t="s">
        <v>425</v>
      </c>
    </row>
    <row r="29" spans="1:4" x14ac:dyDescent="0.25">
      <c r="B29" s="575"/>
      <c r="C29" s="575">
        <v>3</v>
      </c>
      <c r="D29" t="s">
        <v>426</v>
      </c>
    </row>
    <row r="30" spans="1:4" x14ac:dyDescent="0.25">
      <c r="B30" s="575"/>
      <c r="C30" s="575">
        <v>4</v>
      </c>
      <c r="D30" t="s">
        <v>427</v>
      </c>
    </row>
    <row r="31" spans="1:4" x14ac:dyDescent="0.25">
      <c r="B31" s="575"/>
      <c r="C31" s="575">
        <v>5</v>
      </c>
      <c r="D31" t="s">
        <v>428</v>
      </c>
    </row>
    <row r="32" spans="1:4" x14ac:dyDescent="0.25">
      <c r="B32" s="575" t="s">
        <v>397</v>
      </c>
      <c r="C32" t="s">
        <v>429</v>
      </c>
    </row>
    <row r="33" spans="2:4" x14ac:dyDescent="0.25">
      <c r="B33" s="575"/>
      <c r="D33" t="s">
        <v>430</v>
      </c>
    </row>
    <row r="34" spans="2:4" x14ac:dyDescent="0.25">
      <c r="B34" s="575" t="s">
        <v>431</v>
      </c>
      <c r="C34" t="s">
        <v>432</v>
      </c>
    </row>
    <row r="35" spans="2:4" x14ac:dyDescent="0.25">
      <c r="B35" s="575"/>
      <c r="D35" t="s">
        <v>430</v>
      </c>
    </row>
    <row r="36" spans="2:4" x14ac:dyDescent="0.25">
      <c r="B36" s="575" t="s">
        <v>433</v>
      </c>
      <c r="C36" t="s">
        <v>434</v>
      </c>
    </row>
    <row r="37" spans="2:4" x14ac:dyDescent="0.25">
      <c r="B37" s="575"/>
      <c r="D37" t="s">
        <v>435</v>
      </c>
    </row>
    <row r="38" spans="2:4" x14ac:dyDescent="0.25">
      <c r="B38" s="575"/>
      <c r="D38" t="s">
        <v>436</v>
      </c>
    </row>
    <row r="39" spans="2:4" x14ac:dyDescent="0.25">
      <c r="B39" s="575"/>
      <c r="D39" t="s">
        <v>437</v>
      </c>
    </row>
    <row r="40" spans="2:4" x14ac:dyDescent="0.25">
      <c r="B40" s="575" t="s">
        <v>438</v>
      </c>
      <c r="C40" t="s">
        <v>439</v>
      </c>
    </row>
    <row r="41" spans="2:4" x14ac:dyDescent="0.25">
      <c r="B41" s="575"/>
      <c r="C41" s="575">
        <v>1</v>
      </c>
      <c r="D41" t="s">
        <v>440</v>
      </c>
    </row>
    <row r="42" spans="2:4" x14ac:dyDescent="0.25">
      <c r="B42" s="575"/>
      <c r="C42" s="575">
        <v>2</v>
      </c>
      <c r="D42" t="s">
        <v>441</v>
      </c>
    </row>
    <row r="43" spans="2:4" x14ac:dyDescent="0.25">
      <c r="B43" s="575"/>
      <c r="C43" s="575"/>
      <c r="D43" t="s">
        <v>442</v>
      </c>
    </row>
    <row r="44" spans="2:4" x14ac:dyDescent="0.25">
      <c r="B44" s="575"/>
      <c r="C44" s="575">
        <v>3</v>
      </c>
      <c r="D44" t="s">
        <v>443</v>
      </c>
    </row>
    <row r="45" spans="2:4" x14ac:dyDescent="0.25">
      <c r="B45" s="575"/>
      <c r="D45" t="s">
        <v>444</v>
      </c>
    </row>
    <row r="46" spans="2:4" x14ac:dyDescent="0.25">
      <c r="B46" s="575" t="s">
        <v>445</v>
      </c>
      <c r="C46" t="s">
        <v>446</v>
      </c>
    </row>
    <row r="47" spans="2:4" x14ac:dyDescent="0.25">
      <c r="B47" s="575"/>
      <c r="D47" t="s">
        <v>430</v>
      </c>
    </row>
    <row r="48" spans="2:4" x14ac:dyDescent="0.25">
      <c r="B48" s="575" t="s">
        <v>389</v>
      </c>
      <c r="C48" t="s">
        <v>447</v>
      </c>
    </row>
    <row r="49" spans="1:4" x14ac:dyDescent="0.25">
      <c r="B49" s="575" t="s">
        <v>448</v>
      </c>
      <c r="C49" t="s">
        <v>449</v>
      </c>
    </row>
    <row r="50" spans="1:4" x14ac:dyDescent="0.25">
      <c r="B50" s="575"/>
      <c r="C50" s="575">
        <v>1</v>
      </c>
      <c r="D50" t="s">
        <v>450</v>
      </c>
    </row>
    <row r="51" spans="1:4" x14ac:dyDescent="0.25">
      <c r="B51" s="575"/>
      <c r="C51" s="575">
        <v>2</v>
      </c>
      <c r="D51" t="s">
        <v>451</v>
      </c>
    </row>
    <row r="52" spans="1:4" x14ac:dyDescent="0.25">
      <c r="B52" s="575" t="s">
        <v>64</v>
      </c>
      <c r="C52" t="s">
        <v>452</v>
      </c>
    </row>
    <row r="53" spans="1:4" x14ac:dyDescent="0.25">
      <c r="B53" s="575"/>
      <c r="D53" t="s">
        <v>430</v>
      </c>
    </row>
    <row r="54" spans="1:4" x14ac:dyDescent="0.25">
      <c r="B54" s="575" t="s">
        <v>453</v>
      </c>
      <c r="C54" t="s">
        <v>454</v>
      </c>
    </row>
    <row r="55" spans="1:4" x14ac:dyDescent="0.25">
      <c r="B55" s="575"/>
      <c r="D55" t="s">
        <v>430</v>
      </c>
    </row>
    <row r="56" spans="1:4" x14ac:dyDescent="0.25">
      <c r="B56" s="575" t="s">
        <v>455</v>
      </c>
      <c r="C56" t="s">
        <v>456</v>
      </c>
    </row>
    <row r="57" spans="1:4" x14ac:dyDescent="0.25">
      <c r="A57" s="575" t="s">
        <v>457</v>
      </c>
      <c r="B57" s="576" t="s">
        <v>458</v>
      </c>
    </row>
    <row r="58" spans="1:4" x14ac:dyDescent="0.25">
      <c r="B58" s="576" t="s">
        <v>459</v>
      </c>
    </row>
    <row r="59" spans="1:4" x14ac:dyDescent="0.25">
      <c r="B59" s="575" t="s">
        <v>391</v>
      </c>
      <c r="C59" t="s">
        <v>460</v>
      </c>
    </row>
    <row r="60" spans="1:4" x14ac:dyDescent="0.25">
      <c r="B60" s="575" t="s">
        <v>393</v>
      </c>
      <c r="C60" t="s">
        <v>461</v>
      </c>
    </row>
    <row r="61" spans="1:4" x14ac:dyDescent="0.25">
      <c r="B61" s="575" t="s">
        <v>422</v>
      </c>
      <c r="C61" t="s">
        <v>462</v>
      </c>
    </row>
    <row r="62" spans="1:4" x14ac:dyDescent="0.25">
      <c r="B62" s="575" t="s">
        <v>397</v>
      </c>
      <c r="C62" t="s">
        <v>463</v>
      </c>
    </row>
    <row r="63" spans="1:4" x14ac:dyDescent="0.25">
      <c r="B63" s="575" t="s">
        <v>431</v>
      </c>
      <c r="C63" t="s">
        <v>464</v>
      </c>
    </row>
    <row r="64" spans="1:4" x14ac:dyDescent="0.25">
      <c r="B64" s="575" t="s">
        <v>433</v>
      </c>
      <c r="C64" t="s">
        <v>465</v>
      </c>
    </row>
    <row r="65" spans="1:4" x14ac:dyDescent="0.25">
      <c r="C65" t="s">
        <v>466</v>
      </c>
    </row>
    <row r="66" spans="1:4" x14ac:dyDescent="0.25">
      <c r="A66" s="575" t="s">
        <v>467</v>
      </c>
      <c r="B66" s="576" t="s">
        <v>468</v>
      </c>
    </row>
    <row r="67" spans="1:4" x14ac:dyDescent="0.25">
      <c r="B67" s="576" t="s">
        <v>469</v>
      </c>
    </row>
    <row r="68" spans="1:4" x14ac:dyDescent="0.25">
      <c r="B68" s="575" t="s">
        <v>391</v>
      </c>
      <c r="C68" t="s">
        <v>470</v>
      </c>
    </row>
    <row r="69" spans="1:4" x14ac:dyDescent="0.25">
      <c r="C69" t="s">
        <v>471</v>
      </c>
    </row>
    <row r="70" spans="1:4" x14ac:dyDescent="0.25">
      <c r="C70" t="s">
        <v>472</v>
      </c>
    </row>
    <row r="71" spans="1:4" x14ac:dyDescent="0.25">
      <c r="A71" s="575" t="s">
        <v>473</v>
      </c>
      <c r="B71" t="s">
        <v>474</v>
      </c>
    </row>
    <row r="72" spans="1:4" x14ac:dyDescent="0.25">
      <c r="B72" t="s">
        <v>391</v>
      </c>
      <c r="C72" t="s">
        <v>475</v>
      </c>
    </row>
    <row r="73" spans="1:4" x14ac:dyDescent="0.25">
      <c r="C73">
        <v>1</v>
      </c>
      <c r="D73" t="s">
        <v>476</v>
      </c>
    </row>
    <row r="74" spans="1:4" x14ac:dyDescent="0.25">
      <c r="C74">
        <v>2</v>
      </c>
      <c r="D74" t="s">
        <v>477</v>
      </c>
    </row>
    <row r="75" spans="1:4" x14ac:dyDescent="0.25">
      <c r="C75">
        <v>3</v>
      </c>
      <c r="D75" t="s">
        <v>478</v>
      </c>
    </row>
    <row r="76" spans="1:4" x14ac:dyDescent="0.25">
      <c r="A76" s="575" t="s">
        <v>479</v>
      </c>
      <c r="B76" t="s">
        <v>480</v>
      </c>
    </row>
    <row r="77" spans="1:4" x14ac:dyDescent="0.25">
      <c r="B77" t="s">
        <v>391</v>
      </c>
      <c r="C77" t="s">
        <v>481</v>
      </c>
    </row>
    <row r="78" spans="1:4" x14ac:dyDescent="0.25">
      <c r="B78" t="s">
        <v>393</v>
      </c>
      <c r="C78" t="s">
        <v>482</v>
      </c>
    </row>
    <row r="79" spans="1:4" x14ac:dyDescent="0.25">
      <c r="B79" t="s">
        <v>422</v>
      </c>
      <c r="C79" t="s">
        <v>483</v>
      </c>
    </row>
    <row r="80" spans="1:4" x14ac:dyDescent="0.25">
      <c r="A80" s="575" t="s">
        <v>484</v>
      </c>
      <c r="B80" t="s">
        <v>485</v>
      </c>
    </row>
    <row r="81" spans="1:3" x14ac:dyDescent="0.25">
      <c r="B81" t="s">
        <v>391</v>
      </c>
      <c r="C81" t="s">
        <v>486</v>
      </c>
    </row>
    <row r="82" spans="1:3" x14ac:dyDescent="0.25">
      <c r="B82" t="s">
        <v>393</v>
      </c>
      <c r="C82" t="s">
        <v>487</v>
      </c>
    </row>
    <row r="83" spans="1:3" x14ac:dyDescent="0.25">
      <c r="B83" t="s">
        <v>422</v>
      </c>
      <c r="C83" t="s">
        <v>488</v>
      </c>
    </row>
    <row r="84" spans="1:3" x14ac:dyDescent="0.25">
      <c r="C84" t="s">
        <v>489</v>
      </c>
    </row>
    <row r="85" spans="1:3" x14ac:dyDescent="0.25">
      <c r="A85" s="575" t="s">
        <v>490</v>
      </c>
      <c r="B85" t="s">
        <v>491</v>
      </c>
    </row>
    <row r="86" spans="1:3" x14ac:dyDescent="0.25">
      <c r="B86" t="s">
        <v>391</v>
      </c>
      <c r="C86" t="s">
        <v>492</v>
      </c>
    </row>
    <row r="87" spans="1:3" x14ac:dyDescent="0.25">
      <c r="B87" t="s">
        <v>493</v>
      </c>
      <c r="C87" t="s">
        <v>494</v>
      </c>
    </row>
    <row r="88" spans="1:3" x14ac:dyDescent="0.25">
      <c r="C88" t="s">
        <v>495</v>
      </c>
    </row>
    <row r="89" spans="1:3" x14ac:dyDescent="0.25">
      <c r="A89" s="575" t="s">
        <v>496</v>
      </c>
      <c r="B89" t="s">
        <v>291</v>
      </c>
    </row>
    <row r="90" spans="1:3" x14ac:dyDescent="0.25">
      <c r="B90" t="s">
        <v>391</v>
      </c>
      <c r="C90" t="s">
        <v>497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7" tint="0.79998168889431442"/>
    <pageSetUpPr fitToPage="1"/>
  </sheetPr>
  <dimension ref="A1:AO105"/>
  <sheetViews>
    <sheetView workbookViewId="0">
      <selection sqref="A1:XFD1048576"/>
    </sheetView>
  </sheetViews>
  <sheetFormatPr defaultColWidth="9.140625" defaultRowHeight="15" x14ac:dyDescent="0.25"/>
  <cols>
    <col min="1" max="1" width="2.140625" style="427" customWidth="1"/>
    <col min="2" max="2" width="4" style="427" customWidth="1"/>
    <col min="3" max="3" width="40.140625" style="427" customWidth="1"/>
    <col min="4" max="4" width="9.140625" style="427"/>
    <col min="5" max="5" width="1.140625" style="427" customWidth="1"/>
    <col min="6" max="6" width="9.85546875" style="427" bestFit="1" customWidth="1"/>
    <col min="7" max="7" width="1.140625" style="428" customWidth="1"/>
    <col min="8" max="8" width="9.85546875" style="427" bestFit="1" customWidth="1"/>
    <col min="9" max="9" width="1.140625" style="428" customWidth="1"/>
    <col min="10" max="10" width="9.85546875" style="427" bestFit="1" customWidth="1"/>
    <col min="11" max="11" width="1.140625" style="428" customWidth="1"/>
    <col min="12" max="12" width="9.85546875" style="427" bestFit="1" customWidth="1"/>
    <col min="13" max="13" width="1.140625" style="428" customWidth="1"/>
    <col min="14" max="14" width="9.85546875" style="427" bestFit="1" customWidth="1"/>
    <col min="15" max="15" width="4.42578125" style="427" customWidth="1"/>
    <col min="16" max="16" width="9.140625" style="427"/>
    <col min="17" max="44" width="6" style="427" customWidth="1"/>
    <col min="45" max="16384" width="9.140625" style="427"/>
  </cols>
  <sheetData>
    <row r="1" spans="1:41" s="385" customFormat="1" ht="21" x14ac:dyDescent="0.35">
      <c r="A1" s="384" t="str">
        <f>'Rev &amp; Enroll'!$F$5</f>
        <v>Nevada State High School (CSO)</v>
      </c>
      <c r="B1" s="384"/>
      <c r="D1" s="387"/>
      <c r="E1" s="387"/>
      <c r="G1" s="386"/>
      <c r="H1" s="387"/>
      <c r="I1" s="388"/>
      <c r="J1" s="387"/>
      <c r="K1" s="388"/>
      <c r="L1" s="387"/>
      <c r="M1" s="388"/>
      <c r="N1" s="387"/>
      <c r="O1" s="387"/>
      <c r="P1" s="387"/>
      <c r="Q1" s="387"/>
      <c r="R1" s="387"/>
      <c r="S1" s="389"/>
      <c r="T1" s="389"/>
      <c r="U1" s="389"/>
      <c r="V1" s="389"/>
      <c r="W1" s="389"/>
      <c r="X1" s="389"/>
      <c r="Y1" s="389"/>
      <c r="Z1" s="389"/>
      <c r="AA1" s="387"/>
      <c r="AB1" s="387"/>
      <c r="AD1" s="387"/>
      <c r="AE1" s="387"/>
    </row>
    <row r="2" spans="1:41" s="385" customFormat="1" x14ac:dyDescent="0.25">
      <c r="A2" s="390" t="s">
        <v>60</v>
      </c>
      <c r="B2" s="390"/>
      <c r="C2" s="391"/>
      <c r="D2" s="387"/>
      <c r="E2" s="387"/>
      <c r="F2" s="391"/>
      <c r="G2" s="392"/>
      <c r="H2" s="387"/>
      <c r="I2" s="388"/>
      <c r="J2" s="387"/>
      <c r="K2" s="388"/>
      <c r="L2" s="387"/>
      <c r="M2" s="388"/>
      <c r="N2" s="387"/>
      <c r="O2" s="387"/>
      <c r="P2" s="387"/>
      <c r="S2" s="387"/>
      <c r="T2" s="387"/>
      <c r="U2" s="387"/>
      <c r="V2" s="387"/>
      <c r="X2" s="387"/>
      <c r="Y2" s="387"/>
      <c r="AA2" s="393"/>
      <c r="AB2" s="393"/>
      <c r="AD2" s="393"/>
      <c r="AE2" s="393"/>
    </row>
    <row r="3" spans="1:41" s="395" customFormat="1" ht="13.5" customHeight="1" x14ac:dyDescent="0.2">
      <c r="A3" s="394" t="str">
        <f>'FY21'!A3</f>
        <v>Board Approved: Proposed: 4/16/2020</v>
      </c>
      <c r="B3" s="394"/>
      <c r="C3" s="385"/>
      <c r="D3" s="397"/>
      <c r="E3" s="397"/>
      <c r="G3" s="396"/>
      <c r="H3" s="397"/>
      <c r="I3" s="398"/>
      <c r="J3" s="397"/>
      <c r="K3" s="398"/>
      <c r="L3" s="397"/>
      <c r="M3" s="398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87"/>
      <c r="Y3" s="397"/>
      <c r="Z3" s="399"/>
      <c r="AA3" s="397"/>
      <c r="AB3" s="397"/>
      <c r="AD3" s="397"/>
      <c r="AE3" s="397"/>
    </row>
    <row r="4" spans="1:41" s="302" customFormat="1" ht="12" x14ac:dyDescent="0.2">
      <c r="G4" s="306"/>
      <c r="I4" s="306"/>
      <c r="K4" s="306"/>
      <c r="M4" s="306"/>
    </row>
    <row r="5" spans="1:41" s="302" customFormat="1" ht="12" x14ac:dyDescent="0.2">
      <c r="C5" s="400" t="s">
        <v>61</v>
      </c>
      <c r="F5" s="706" t="s">
        <v>523</v>
      </c>
      <c r="G5" s="707"/>
      <c r="H5" s="707"/>
      <c r="I5" s="707"/>
      <c r="J5" s="707"/>
      <c r="K5" s="707"/>
      <c r="L5" s="707"/>
      <c r="M5" s="707"/>
      <c r="N5" s="708"/>
    </row>
    <row r="6" spans="1:41" s="302" customFormat="1" ht="12" x14ac:dyDescent="0.2">
      <c r="G6" s="306"/>
      <c r="I6" s="306"/>
      <c r="K6" s="306"/>
      <c r="M6" s="306"/>
    </row>
    <row r="7" spans="1:41" s="401" customFormat="1" ht="12.75" thickBot="1" x14ac:dyDescent="0.3">
      <c r="F7" s="657" t="s">
        <v>67</v>
      </c>
      <c r="G7" s="401">
        <v>0</v>
      </c>
      <c r="H7" s="657" t="s">
        <v>68</v>
      </c>
      <c r="I7" s="401">
        <v>0</v>
      </c>
      <c r="J7" s="657" t="s">
        <v>69</v>
      </c>
      <c r="K7" s="401">
        <v>0</v>
      </c>
      <c r="L7" s="657" t="s">
        <v>70</v>
      </c>
      <c r="M7" s="401">
        <v>0</v>
      </c>
      <c r="N7" s="657" t="s">
        <v>361</v>
      </c>
    </row>
    <row r="8" spans="1:41" s="302" customFormat="1" ht="12.75" thickBot="1" x14ac:dyDescent="0.25">
      <c r="B8" s="709" t="s">
        <v>62</v>
      </c>
      <c r="C8" s="710"/>
      <c r="D8" s="710"/>
      <c r="E8" s="710"/>
      <c r="F8" s="710"/>
      <c r="G8" s="710"/>
      <c r="H8" s="710"/>
      <c r="I8" s="710"/>
      <c r="J8" s="710"/>
      <c r="K8" s="710"/>
      <c r="L8" s="710"/>
      <c r="M8" s="710"/>
      <c r="N8" s="710"/>
      <c r="O8" s="711"/>
      <c r="Q8" s="709" t="s">
        <v>584</v>
      </c>
      <c r="R8" s="710"/>
      <c r="S8" s="710"/>
      <c r="T8" s="710"/>
      <c r="U8" s="710"/>
      <c r="V8" s="710"/>
      <c r="W8" s="710"/>
      <c r="X8" s="710"/>
      <c r="Y8" s="710"/>
      <c r="Z8" s="710"/>
      <c r="AA8" s="710"/>
      <c r="AB8" s="711"/>
      <c r="AD8" s="709" t="s">
        <v>578</v>
      </c>
      <c r="AE8" s="710"/>
      <c r="AF8" s="710"/>
      <c r="AG8" s="710"/>
      <c r="AH8" s="710"/>
      <c r="AI8" s="710"/>
      <c r="AJ8" s="710"/>
      <c r="AK8" s="710"/>
      <c r="AL8" s="710"/>
      <c r="AM8" s="710"/>
      <c r="AN8" s="710"/>
      <c r="AO8" s="711"/>
    </row>
    <row r="9" spans="1:41" s="302" customFormat="1" ht="12" x14ac:dyDescent="0.2">
      <c r="C9" s="401" t="s">
        <v>65</v>
      </c>
      <c r="G9" s="306"/>
      <c r="I9" s="306"/>
      <c r="K9" s="306"/>
      <c r="M9" s="306"/>
      <c r="Q9" s="403" t="s">
        <v>156</v>
      </c>
      <c r="R9" s="403" t="s">
        <v>157</v>
      </c>
      <c r="S9" s="403" t="s">
        <v>158</v>
      </c>
      <c r="T9" s="403" t="s">
        <v>159</v>
      </c>
      <c r="U9" s="403" t="s">
        <v>160</v>
      </c>
      <c r="V9" s="403" t="s">
        <v>161</v>
      </c>
      <c r="W9" s="403" t="s">
        <v>162</v>
      </c>
      <c r="X9" s="403" t="s">
        <v>163</v>
      </c>
      <c r="Y9" s="403" t="s">
        <v>164</v>
      </c>
      <c r="Z9" s="403" t="s">
        <v>165</v>
      </c>
      <c r="AA9" s="403" t="s">
        <v>166</v>
      </c>
      <c r="AB9" s="403" t="s">
        <v>167</v>
      </c>
      <c r="AD9" s="403" t="s">
        <v>156</v>
      </c>
      <c r="AE9" s="403" t="s">
        <v>157</v>
      </c>
      <c r="AF9" s="403" t="s">
        <v>158</v>
      </c>
      <c r="AG9" s="403" t="s">
        <v>159</v>
      </c>
      <c r="AH9" s="403" t="s">
        <v>160</v>
      </c>
      <c r="AI9" s="403" t="s">
        <v>161</v>
      </c>
      <c r="AJ9" s="403" t="s">
        <v>162</v>
      </c>
      <c r="AK9" s="403" t="s">
        <v>163</v>
      </c>
      <c r="AL9" s="403" t="s">
        <v>164</v>
      </c>
      <c r="AM9" s="403" t="s">
        <v>165</v>
      </c>
      <c r="AN9" s="403" t="s">
        <v>166</v>
      </c>
      <c r="AO9" s="403" t="s">
        <v>167</v>
      </c>
    </row>
    <row r="10" spans="1:41" s="302" customFormat="1" ht="12" hidden="1" x14ac:dyDescent="0.2">
      <c r="C10" s="404" t="s">
        <v>63</v>
      </c>
      <c r="F10" s="405">
        <v>0</v>
      </c>
      <c r="G10" s="405"/>
      <c r="H10" s="405">
        <v>0</v>
      </c>
      <c r="I10" s="405"/>
      <c r="J10" s="405">
        <v>0</v>
      </c>
      <c r="K10" s="405"/>
      <c r="L10" s="405">
        <v>0</v>
      </c>
      <c r="M10" s="405"/>
      <c r="N10" s="405">
        <v>0</v>
      </c>
      <c r="O10" s="406"/>
      <c r="Q10" s="407">
        <v>0</v>
      </c>
      <c r="R10" s="407">
        <v>0</v>
      </c>
      <c r="S10" s="407">
        <v>0</v>
      </c>
      <c r="T10" s="407">
        <v>0</v>
      </c>
      <c r="U10" s="407">
        <v>0</v>
      </c>
      <c r="V10" s="407">
        <v>0</v>
      </c>
      <c r="W10" s="407">
        <v>0</v>
      </c>
      <c r="X10" s="407">
        <v>0</v>
      </c>
      <c r="Y10" s="407">
        <v>0</v>
      </c>
      <c r="Z10" s="407">
        <v>0</v>
      </c>
      <c r="AA10" s="407">
        <v>0</v>
      </c>
      <c r="AB10" s="407">
        <v>0</v>
      </c>
      <c r="AD10" s="407">
        <v>0</v>
      </c>
      <c r="AE10" s="407">
        <v>0</v>
      </c>
      <c r="AF10" s="407">
        <v>0</v>
      </c>
      <c r="AG10" s="407">
        <v>0</v>
      </c>
      <c r="AH10" s="407">
        <v>0</v>
      </c>
      <c r="AI10" s="407">
        <v>0</v>
      </c>
      <c r="AJ10" s="407">
        <v>0</v>
      </c>
      <c r="AK10" s="407">
        <v>0</v>
      </c>
      <c r="AL10" s="407">
        <v>0</v>
      </c>
      <c r="AM10" s="407">
        <v>0</v>
      </c>
      <c r="AN10" s="407">
        <v>0</v>
      </c>
      <c r="AO10" s="407">
        <v>0</v>
      </c>
    </row>
    <row r="11" spans="1:41" s="302" customFormat="1" ht="12" hidden="1" x14ac:dyDescent="0.2">
      <c r="C11" s="408" t="s">
        <v>64</v>
      </c>
      <c r="F11" s="409">
        <v>0</v>
      </c>
      <c r="G11" s="409"/>
      <c r="H11" s="409">
        <v>0</v>
      </c>
      <c r="I11" s="409"/>
      <c r="J11" s="409">
        <v>0</v>
      </c>
      <c r="K11" s="409"/>
      <c r="L11" s="409">
        <v>0</v>
      </c>
      <c r="M11" s="409"/>
      <c r="N11" s="409">
        <v>0</v>
      </c>
      <c r="O11" s="406"/>
      <c r="Q11" s="410">
        <v>0</v>
      </c>
      <c r="R11" s="410">
        <v>0</v>
      </c>
      <c r="S11" s="410">
        <v>0</v>
      </c>
      <c r="T11" s="410">
        <v>0</v>
      </c>
      <c r="U11" s="410">
        <v>0</v>
      </c>
      <c r="V11" s="410">
        <v>0</v>
      </c>
      <c r="W11" s="410">
        <v>0</v>
      </c>
      <c r="X11" s="410">
        <v>0</v>
      </c>
      <c r="Y11" s="410">
        <v>0</v>
      </c>
      <c r="Z11" s="410">
        <v>0</v>
      </c>
      <c r="AA11" s="410">
        <v>0</v>
      </c>
      <c r="AB11" s="410">
        <v>0</v>
      </c>
      <c r="AD11" s="410">
        <v>0</v>
      </c>
      <c r="AE11" s="410">
        <v>0</v>
      </c>
      <c r="AF11" s="410">
        <v>0</v>
      </c>
      <c r="AG11" s="410">
        <v>0</v>
      </c>
      <c r="AH11" s="410">
        <v>0</v>
      </c>
      <c r="AI11" s="410">
        <v>0</v>
      </c>
      <c r="AJ11" s="410">
        <v>0</v>
      </c>
      <c r="AK11" s="410">
        <v>0</v>
      </c>
      <c r="AL11" s="410">
        <v>0</v>
      </c>
      <c r="AM11" s="410">
        <v>0</v>
      </c>
      <c r="AN11" s="410">
        <v>0</v>
      </c>
      <c r="AO11" s="410">
        <v>0</v>
      </c>
    </row>
    <row r="12" spans="1:41" s="302" customFormat="1" ht="12" hidden="1" x14ac:dyDescent="0.2">
      <c r="C12" s="404">
        <v>1</v>
      </c>
      <c r="F12" s="405">
        <v>0</v>
      </c>
      <c r="G12" s="405"/>
      <c r="H12" s="405">
        <v>0</v>
      </c>
      <c r="I12" s="405"/>
      <c r="J12" s="405">
        <v>0</v>
      </c>
      <c r="K12" s="405"/>
      <c r="L12" s="405">
        <v>0</v>
      </c>
      <c r="M12" s="405"/>
      <c r="N12" s="405">
        <v>0</v>
      </c>
      <c r="O12" s="406"/>
      <c r="Q12" s="407">
        <v>0</v>
      </c>
      <c r="R12" s="407">
        <v>0</v>
      </c>
      <c r="S12" s="407">
        <v>0</v>
      </c>
      <c r="T12" s="407">
        <v>0</v>
      </c>
      <c r="U12" s="407">
        <v>0</v>
      </c>
      <c r="V12" s="407">
        <v>0</v>
      </c>
      <c r="W12" s="407">
        <v>0</v>
      </c>
      <c r="X12" s="407">
        <v>0</v>
      </c>
      <c r="Y12" s="407">
        <v>0</v>
      </c>
      <c r="Z12" s="407">
        <v>0</v>
      </c>
      <c r="AA12" s="407">
        <v>0</v>
      </c>
      <c r="AB12" s="407">
        <v>0</v>
      </c>
      <c r="AD12" s="407">
        <v>0</v>
      </c>
      <c r="AE12" s="407">
        <v>0</v>
      </c>
      <c r="AF12" s="407">
        <v>0</v>
      </c>
      <c r="AG12" s="407">
        <v>0</v>
      </c>
      <c r="AH12" s="407">
        <v>0</v>
      </c>
      <c r="AI12" s="407">
        <v>0</v>
      </c>
      <c r="AJ12" s="407">
        <v>0</v>
      </c>
      <c r="AK12" s="407">
        <v>0</v>
      </c>
      <c r="AL12" s="407">
        <v>0</v>
      </c>
      <c r="AM12" s="407">
        <v>0</v>
      </c>
      <c r="AN12" s="407">
        <v>0</v>
      </c>
      <c r="AO12" s="407">
        <v>0</v>
      </c>
    </row>
    <row r="13" spans="1:41" s="302" customFormat="1" ht="12" hidden="1" x14ac:dyDescent="0.2">
      <c r="C13" s="408">
        <v>2</v>
      </c>
      <c r="F13" s="409">
        <v>0</v>
      </c>
      <c r="G13" s="409"/>
      <c r="H13" s="409">
        <v>0</v>
      </c>
      <c r="I13" s="409"/>
      <c r="J13" s="409">
        <v>0</v>
      </c>
      <c r="K13" s="409"/>
      <c r="L13" s="409">
        <v>0</v>
      </c>
      <c r="M13" s="409"/>
      <c r="N13" s="409">
        <v>0</v>
      </c>
      <c r="O13" s="406"/>
      <c r="Q13" s="410">
        <v>0</v>
      </c>
      <c r="R13" s="410">
        <v>0</v>
      </c>
      <c r="S13" s="410">
        <v>0</v>
      </c>
      <c r="T13" s="410">
        <v>0</v>
      </c>
      <c r="U13" s="410">
        <v>0</v>
      </c>
      <c r="V13" s="410">
        <v>0</v>
      </c>
      <c r="W13" s="410">
        <v>0</v>
      </c>
      <c r="X13" s="410">
        <v>0</v>
      </c>
      <c r="Y13" s="410">
        <v>0</v>
      </c>
      <c r="Z13" s="410">
        <v>0</v>
      </c>
      <c r="AA13" s="410">
        <v>0</v>
      </c>
      <c r="AB13" s="410">
        <v>0</v>
      </c>
      <c r="AD13" s="410">
        <v>0</v>
      </c>
      <c r="AE13" s="410">
        <v>0</v>
      </c>
      <c r="AF13" s="410">
        <v>0</v>
      </c>
      <c r="AG13" s="410">
        <v>0</v>
      </c>
      <c r="AH13" s="410">
        <v>0</v>
      </c>
      <c r="AI13" s="410">
        <v>0</v>
      </c>
      <c r="AJ13" s="410">
        <v>0</v>
      </c>
      <c r="AK13" s="410">
        <v>0</v>
      </c>
      <c r="AL13" s="410">
        <v>0</v>
      </c>
      <c r="AM13" s="410">
        <v>0</v>
      </c>
      <c r="AN13" s="410">
        <v>0</v>
      </c>
      <c r="AO13" s="410">
        <v>0</v>
      </c>
    </row>
    <row r="14" spans="1:41" s="302" customFormat="1" ht="12" hidden="1" x14ac:dyDescent="0.2">
      <c r="C14" s="404">
        <v>3</v>
      </c>
      <c r="F14" s="405">
        <v>0</v>
      </c>
      <c r="G14" s="405"/>
      <c r="H14" s="405">
        <v>0</v>
      </c>
      <c r="I14" s="405"/>
      <c r="J14" s="405">
        <v>0</v>
      </c>
      <c r="K14" s="405"/>
      <c r="L14" s="405">
        <v>0</v>
      </c>
      <c r="M14" s="405"/>
      <c r="N14" s="405">
        <v>0</v>
      </c>
      <c r="O14" s="406"/>
      <c r="Q14" s="407">
        <v>0</v>
      </c>
      <c r="R14" s="407">
        <v>0</v>
      </c>
      <c r="S14" s="407">
        <v>0</v>
      </c>
      <c r="T14" s="407">
        <v>0</v>
      </c>
      <c r="U14" s="407">
        <v>0</v>
      </c>
      <c r="V14" s="407">
        <v>0</v>
      </c>
      <c r="W14" s="407">
        <v>0</v>
      </c>
      <c r="X14" s="407">
        <v>0</v>
      </c>
      <c r="Y14" s="407">
        <v>0</v>
      </c>
      <c r="Z14" s="407">
        <v>0</v>
      </c>
      <c r="AA14" s="407">
        <v>0</v>
      </c>
      <c r="AB14" s="407">
        <v>0</v>
      </c>
      <c r="AD14" s="407">
        <v>0</v>
      </c>
      <c r="AE14" s="407">
        <v>0</v>
      </c>
      <c r="AF14" s="407">
        <v>0</v>
      </c>
      <c r="AG14" s="407">
        <v>0</v>
      </c>
      <c r="AH14" s="407">
        <v>0</v>
      </c>
      <c r="AI14" s="407">
        <v>0</v>
      </c>
      <c r="AJ14" s="407">
        <v>0</v>
      </c>
      <c r="AK14" s="407">
        <v>0</v>
      </c>
      <c r="AL14" s="407">
        <v>0</v>
      </c>
      <c r="AM14" s="407">
        <v>0</v>
      </c>
      <c r="AN14" s="407">
        <v>0</v>
      </c>
      <c r="AO14" s="407">
        <v>0</v>
      </c>
    </row>
    <row r="15" spans="1:41" s="302" customFormat="1" ht="12" hidden="1" x14ac:dyDescent="0.2">
      <c r="C15" s="408">
        <v>4</v>
      </c>
      <c r="F15" s="409">
        <v>0</v>
      </c>
      <c r="G15" s="409"/>
      <c r="H15" s="409">
        <v>0</v>
      </c>
      <c r="I15" s="409"/>
      <c r="J15" s="409">
        <v>0</v>
      </c>
      <c r="K15" s="409"/>
      <c r="L15" s="409">
        <v>0</v>
      </c>
      <c r="M15" s="409"/>
      <c r="N15" s="409">
        <v>0</v>
      </c>
      <c r="O15" s="406"/>
      <c r="Q15" s="410">
        <v>0</v>
      </c>
      <c r="R15" s="410">
        <v>0</v>
      </c>
      <c r="S15" s="410">
        <v>0</v>
      </c>
      <c r="T15" s="410">
        <v>0</v>
      </c>
      <c r="U15" s="410">
        <v>0</v>
      </c>
      <c r="V15" s="410">
        <v>0</v>
      </c>
      <c r="W15" s="410">
        <v>0</v>
      </c>
      <c r="X15" s="410">
        <v>0</v>
      </c>
      <c r="Y15" s="410">
        <v>0</v>
      </c>
      <c r="Z15" s="410">
        <v>0</v>
      </c>
      <c r="AA15" s="410">
        <v>0</v>
      </c>
      <c r="AB15" s="410">
        <v>0</v>
      </c>
      <c r="AD15" s="410">
        <v>0</v>
      </c>
      <c r="AE15" s="410">
        <v>0</v>
      </c>
      <c r="AF15" s="410">
        <v>0</v>
      </c>
      <c r="AG15" s="410">
        <v>0</v>
      </c>
      <c r="AH15" s="410">
        <v>0</v>
      </c>
      <c r="AI15" s="410">
        <v>0</v>
      </c>
      <c r="AJ15" s="410">
        <v>0</v>
      </c>
      <c r="AK15" s="410">
        <v>0</v>
      </c>
      <c r="AL15" s="410">
        <v>0</v>
      </c>
      <c r="AM15" s="410">
        <v>0</v>
      </c>
      <c r="AN15" s="410">
        <v>0</v>
      </c>
      <c r="AO15" s="410">
        <v>0</v>
      </c>
    </row>
    <row r="16" spans="1:41" s="302" customFormat="1" ht="12" hidden="1" x14ac:dyDescent="0.2">
      <c r="C16" s="404">
        <v>5</v>
      </c>
      <c r="F16" s="405">
        <v>0</v>
      </c>
      <c r="G16" s="405"/>
      <c r="H16" s="405">
        <v>0</v>
      </c>
      <c r="I16" s="405"/>
      <c r="J16" s="405">
        <v>0</v>
      </c>
      <c r="K16" s="405"/>
      <c r="L16" s="405">
        <v>0</v>
      </c>
      <c r="M16" s="405"/>
      <c r="N16" s="405">
        <v>0</v>
      </c>
      <c r="O16" s="406"/>
      <c r="Q16" s="407">
        <v>0</v>
      </c>
      <c r="R16" s="407">
        <v>0</v>
      </c>
      <c r="S16" s="407">
        <v>0</v>
      </c>
      <c r="T16" s="407">
        <v>0</v>
      </c>
      <c r="U16" s="407">
        <v>0</v>
      </c>
      <c r="V16" s="407">
        <v>0</v>
      </c>
      <c r="W16" s="407">
        <v>0</v>
      </c>
      <c r="X16" s="407">
        <v>0</v>
      </c>
      <c r="Y16" s="407">
        <v>0</v>
      </c>
      <c r="Z16" s="407">
        <v>0</v>
      </c>
      <c r="AA16" s="407">
        <v>0</v>
      </c>
      <c r="AB16" s="407">
        <v>0</v>
      </c>
      <c r="AD16" s="407">
        <v>0</v>
      </c>
      <c r="AE16" s="407">
        <v>0</v>
      </c>
      <c r="AF16" s="407">
        <v>0</v>
      </c>
      <c r="AG16" s="407">
        <v>0</v>
      </c>
      <c r="AH16" s="407">
        <v>0</v>
      </c>
      <c r="AI16" s="407">
        <v>0</v>
      </c>
      <c r="AJ16" s="407">
        <v>0</v>
      </c>
      <c r="AK16" s="407">
        <v>0</v>
      </c>
      <c r="AL16" s="407">
        <v>0</v>
      </c>
      <c r="AM16" s="407">
        <v>0</v>
      </c>
      <c r="AN16" s="407">
        <v>0</v>
      </c>
      <c r="AO16" s="407">
        <v>0</v>
      </c>
    </row>
    <row r="17" spans="2:41" s="302" customFormat="1" ht="12" hidden="1" x14ac:dyDescent="0.2">
      <c r="C17" s="408">
        <v>6</v>
      </c>
      <c r="F17" s="409">
        <v>0</v>
      </c>
      <c r="G17" s="409"/>
      <c r="H17" s="409">
        <v>0</v>
      </c>
      <c r="I17" s="409"/>
      <c r="J17" s="409">
        <v>0</v>
      </c>
      <c r="K17" s="409"/>
      <c r="L17" s="409">
        <v>0</v>
      </c>
      <c r="M17" s="409"/>
      <c r="N17" s="409">
        <v>0</v>
      </c>
      <c r="O17" s="406"/>
      <c r="Q17" s="410">
        <v>0</v>
      </c>
      <c r="R17" s="410">
        <v>0</v>
      </c>
      <c r="S17" s="410">
        <v>0</v>
      </c>
      <c r="T17" s="410">
        <v>0</v>
      </c>
      <c r="U17" s="410">
        <v>0</v>
      </c>
      <c r="V17" s="410">
        <v>0</v>
      </c>
      <c r="W17" s="410">
        <v>0</v>
      </c>
      <c r="X17" s="410">
        <v>0</v>
      </c>
      <c r="Y17" s="410">
        <v>0</v>
      </c>
      <c r="Z17" s="410">
        <v>0</v>
      </c>
      <c r="AA17" s="410">
        <v>0</v>
      </c>
      <c r="AB17" s="410">
        <v>0</v>
      </c>
      <c r="AD17" s="410">
        <v>0</v>
      </c>
      <c r="AE17" s="410">
        <v>0</v>
      </c>
      <c r="AF17" s="410">
        <v>0</v>
      </c>
      <c r="AG17" s="410">
        <v>0</v>
      </c>
      <c r="AH17" s="410">
        <v>0</v>
      </c>
      <c r="AI17" s="410">
        <v>0</v>
      </c>
      <c r="AJ17" s="410">
        <v>0</v>
      </c>
      <c r="AK17" s="410">
        <v>0</v>
      </c>
      <c r="AL17" s="410">
        <v>0</v>
      </c>
      <c r="AM17" s="410">
        <v>0</v>
      </c>
      <c r="AN17" s="410">
        <v>0</v>
      </c>
      <c r="AO17" s="410">
        <v>0</v>
      </c>
    </row>
    <row r="18" spans="2:41" s="302" customFormat="1" ht="12" hidden="1" x14ac:dyDescent="0.2">
      <c r="C18" s="404">
        <v>7</v>
      </c>
      <c r="F18" s="405">
        <v>0</v>
      </c>
      <c r="G18" s="405"/>
      <c r="H18" s="405">
        <v>0</v>
      </c>
      <c r="I18" s="405"/>
      <c r="J18" s="405">
        <v>0</v>
      </c>
      <c r="K18" s="405"/>
      <c r="L18" s="405">
        <v>0</v>
      </c>
      <c r="M18" s="405"/>
      <c r="N18" s="405">
        <v>0</v>
      </c>
      <c r="O18" s="406"/>
      <c r="Q18" s="407">
        <v>0</v>
      </c>
      <c r="R18" s="407">
        <v>0</v>
      </c>
      <c r="S18" s="407">
        <v>0</v>
      </c>
      <c r="T18" s="407">
        <v>0</v>
      </c>
      <c r="U18" s="407">
        <v>0</v>
      </c>
      <c r="V18" s="407">
        <v>0</v>
      </c>
      <c r="W18" s="407">
        <v>0</v>
      </c>
      <c r="X18" s="407">
        <v>0</v>
      </c>
      <c r="Y18" s="407">
        <v>0</v>
      </c>
      <c r="Z18" s="407">
        <v>0</v>
      </c>
      <c r="AA18" s="407">
        <v>0</v>
      </c>
      <c r="AB18" s="407">
        <v>0</v>
      </c>
      <c r="AD18" s="407">
        <v>0</v>
      </c>
      <c r="AE18" s="407">
        <v>0</v>
      </c>
      <c r="AF18" s="407">
        <v>0</v>
      </c>
      <c r="AG18" s="407">
        <v>0</v>
      </c>
      <c r="AH18" s="407">
        <v>0</v>
      </c>
      <c r="AI18" s="407">
        <v>0</v>
      </c>
      <c r="AJ18" s="407">
        <v>0</v>
      </c>
      <c r="AK18" s="407">
        <v>0</v>
      </c>
      <c r="AL18" s="407">
        <v>0</v>
      </c>
      <c r="AM18" s="407">
        <v>0</v>
      </c>
      <c r="AN18" s="407">
        <v>0</v>
      </c>
      <c r="AO18" s="407">
        <v>0</v>
      </c>
    </row>
    <row r="19" spans="2:41" s="302" customFormat="1" ht="12" hidden="1" x14ac:dyDescent="0.2">
      <c r="C19" s="408">
        <v>8</v>
      </c>
      <c r="F19" s="409">
        <v>0</v>
      </c>
      <c r="G19" s="409"/>
      <c r="H19" s="409">
        <v>0</v>
      </c>
      <c r="I19" s="409"/>
      <c r="J19" s="409">
        <v>0</v>
      </c>
      <c r="K19" s="409"/>
      <c r="L19" s="409">
        <v>0</v>
      </c>
      <c r="M19" s="409"/>
      <c r="N19" s="409">
        <v>0</v>
      </c>
      <c r="O19" s="406"/>
      <c r="Q19" s="410">
        <v>0</v>
      </c>
      <c r="R19" s="410">
        <v>0</v>
      </c>
      <c r="S19" s="410">
        <v>0</v>
      </c>
      <c r="T19" s="410">
        <v>0</v>
      </c>
      <c r="U19" s="410">
        <v>0</v>
      </c>
      <c r="V19" s="410">
        <v>0</v>
      </c>
      <c r="W19" s="410">
        <v>0</v>
      </c>
      <c r="X19" s="410">
        <v>0</v>
      </c>
      <c r="Y19" s="410">
        <v>0</v>
      </c>
      <c r="Z19" s="410">
        <v>0</v>
      </c>
      <c r="AA19" s="410">
        <v>0</v>
      </c>
      <c r="AB19" s="410">
        <v>0</v>
      </c>
      <c r="AD19" s="410">
        <v>0</v>
      </c>
      <c r="AE19" s="410">
        <v>0</v>
      </c>
      <c r="AF19" s="410">
        <v>0</v>
      </c>
      <c r="AG19" s="410">
        <v>0</v>
      </c>
      <c r="AH19" s="410">
        <v>0</v>
      </c>
      <c r="AI19" s="410">
        <v>0</v>
      </c>
      <c r="AJ19" s="410">
        <v>0</v>
      </c>
      <c r="AK19" s="410">
        <v>0</v>
      </c>
      <c r="AL19" s="410">
        <v>0</v>
      </c>
      <c r="AM19" s="410">
        <v>0</v>
      </c>
      <c r="AN19" s="410">
        <v>0</v>
      </c>
      <c r="AO19" s="410">
        <v>0</v>
      </c>
    </row>
    <row r="20" spans="2:41" s="302" customFormat="1" ht="12" hidden="1" x14ac:dyDescent="0.2">
      <c r="C20" s="404">
        <v>9</v>
      </c>
      <c r="F20" s="405">
        <v>0</v>
      </c>
      <c r="G20" s="405"/>
      <c r="H20" s="405">
        <v>0</v>
      </c>
      <c r="I20" s="405"/>
      <c r="J20" s="405">
        <v>0</v>
      </c>
      <c r="K20" s="405"/>
      <c r="L20" s="405">
        <v>0</v>
      </c>
      <c r="M20" s="405"/>
      <c r="N20" s="405">
        <v>0</v>
      </c>
      <c r="O20" s="406"/>
      <c r="Q20" s="407">
        <v>0</v>
      </c>
      <c r="R20" s="407">
        <v>0</v>
      </c>
      <c r="S20" s="407">
        <v>0</v>
      </c>
      <c r="T20" s="407">
        <v>0</v>
      </c>
      <c r="U20" s="407">
        <v>0</v>
      </c>
      <c r="V20" s="407">
        <v>0</v>
      </c>
      <c r="W20" s="407">
        <v>0</v>
      </c>
      <c r="X20" s="407">
        <v>0</v>
      </c>
      <c r="Y20" s="407">
        <v>0</v>
      </c>
      <c r="Z20" s="407">
        <v>0</v>
      </c>
      <c r="AA20" s="407">
        <v>0</v>
      </c>
      <c r="AB20" s="407">
        <v>0</v>
      </c>
      <c r="AD20" s="407">
        <v>0</v>
      </c>
      <c r="AE20" s="407">
        <v>0</v>
      </c>
      <c r="AF20" s="407">
        <v>0</v>
      </c>
      <c r="AG20" s="407">
        <v>0</v>
      </c>
      <c r="AH20" s="407">
        <v>0</v>
      </c>
      <c r="AI20" s="407">
        <v>0</v>
      </c>
      <c r="AJ20" s="407">
        <v>0</v>
      </c>
      <c r="AK20" s="407">
        <v>0</v>
      </c>
      <c r="AL20" s="407">
        <v>0</v>
      </c>
      <c r="AM20" s="407">
        <v>0</v>
      </c>
      <c r="AN20" s="407">
        <v>0</v>
      </c>
      <c r="AO20" s="407">
        <v>0</v>
      </c>
    </row>
    <row r="21" spans="2:41" s="302" customFormat="1" ht="12" hidden="1" x14ac:dyDescent="0.2">
      <c r="C21" s="408">
        <v>10</v>
      </c>
      <c r="F21" s="409">
        <v>0</v>
      </c>
      <c r="G21" s="409"/>
      <c r="H21" s="409">
        <v>0</v>
      </c>
      <c r="I21" s="409"/>
      <c r="J21" s="409">
        <v>0</v>
      </c>
      <c r="K21" s="409"/>
      <c r="L21" s="409">
        <v>0</v>
      </c>
      <c r="M21" s="409"/>
      <c r="N21" s="409">
        <v>0</v>
      </c>
      <c r="O21" s="406"/>
      <c r="Q21" s="410">
        <v>0</v>
      </c>
      <c r="R21" s="410">
        <v>0</v>
      </c>
      <c r="S21" s="410">
        <v>0</v>
      </c>
      <c r="T21" s="410">
        <v>0</v>
      </c>
      <c r="U21" s="410">
        <v>0</v>
      </c>
      <c r="V21" s="410">
        <v>0</v>
      </c>
      <c r="W21" s="410">
        <v>0</v>
      </c>
      <c r="X21" s="410">
        <v>0</v>
      </c>
      <c r="Y21" s="410">
        <v>0</v>
      </c>
      <c r="Z21" s="410">
        <v>0</v>
      </c>
      <c r="AA21" s="410">
        <v>0</v>
      </c>
      <c r="AB21" s="410">
        <v>0</v>
      </c>
      <c r="AD21" s="410">
        <v>0</v>
      </c>
      <c r="AE21" s="410">
        <v>0</v>
      </c>
      <c r="AF21" s="410">
        <v>0</v>
      </c>
      <c r="AG21" s="410">
        <v>0</v>
      </c>
      <c r="AH21" s="410">
        <v>0</v>
      </c>
      <c r="AI21" s="410">
        <v>0</v>
      </c>
      <c r="AJ21" s="410">
        <v>0</v>
      </c>
      <c r="AK21" s="410">
        <v>0</v>
      </c>
      <c r="AL21" s="410">
        <v>0</v>
      </c>
      <c r="AM21" s="410">
        <v>0</v>
      </c>
      <c r="AN21" s="410">
        <v>0</v>
      </c>
      <c r="AO21" s="410">
        <v>0</v>
      </c>
    </row>
    <row r="22" spans="2:41" s="302" customFormat="1" ht="12" x14ac:dyDescent="0.2">
      <c r="C22" s="404">
        <v>11</v>
      </c>
      <c r="F22" s="405">
        <f>AVERAGE(W28:AB28)</f>
        <v>438</v>
      </c>
      <c r="G22" s="405"/>
      <c r="H22" s="405">
        <f>+F22*(1+H34)</f>
        <v>475.22999999999996</v>
      </c>
      <c r="I22" s="405"/>
      <c r="J22" s="405">
        <f>+H22*(1+J34)</f>
        <v>513.20786262646288</v>
      </c>
      <c r="K22" s="405"/>
      <c r="L22" s="405">
        <f>+J22*(1+L34)</f>
        <v>544.76304978079747</v>
      </c>
      <c r="M22" s="405"/>
      <c r="N22" s="405">
        <f>+L22*(1+N34)</f>
        <v>575.98169848821658</v>
      </c>
      <c r="O22" s="406"/>
      <c r="Q22" s="534">
        <f>Q28+Q34+Q40</f>
        <v>525</v>
      </c>
      <c r="R22" s="534">
        <f t="shared" ref="R22:AB22" si="0">R28+R34+R40</f>
        <v>525</v>
      </c>
      <c r="S22" s="534">
        <f t="shared" si="0"/>
        <v>525</v>
      </c>
      <c r="T22" s="534">
        <f t="shared" si="0"/>
        <v>525</v>
      </c>
      <c r="U22" s="534">
        <f t="shared" si="0"/>
        <v>525</v>
      </c>
      <c r="V22" s="534">
        <f t="shared" si="0"/>
        <v>525</v>
      </c>
      <c r="W22" s="534">
        <f t="shared" si="0"/>
        <v>525</v>
      </c>
      <c r="X22" s="534">
        <f t="shared" si="0"/>
        <v>525</v>
      </c>
      <c r="Y22" s="534">
        <f t="shared" si="0"/>
        <v>525</v>
      </c>
      <c r="Z22" s="534">
        <f t="shared" si="0"/>
        <v>525</v>
      </c>
      <c r="AA22" s="534">
        <f t="shared" si="0"/>
        <v>525</v>
      </c>
      <c r="AB22" s="534">
        <f t="shared" si="0"/>
        <v>525</v>
      </c>
      <c r="AD22" s="534">
        <v>142</v>
      </c>
      <c r="AE22" s="534">
        <v>142</v>
      </c>
      <c r="AF22" s="534">
        <v>142</v>
      </c>
      <c r="AG22" s="534">
        <v>142</v>
      </c>
      <c r="AH22" s="534">
        <v>142</v>
      </c>
      <c r="AI22" s="534">
        <v>142</v>
      </c>
      <c r="AJ22" s="534">
        <v>142</v>
      </c>
      <c r="AK22" s="534">
        <v>142</v>
      </c>
      <c r="AL22" s="534">
        <v>142</v>
      </c>
      <c r="AM22" s="534">
        <v>142</v>
      </c>
      <c r="AN22" s="534">
        <v>142</v>
      </c>
      <c r="AO22" s="534">
        <v>142</v>
      </c>
    </row>
    <row r="23" spans="2:41" s="302" customFormat="1" ht="12" x14ac:dyDescent="0.2">
      <c r="C23" s="408">
        <v>12</v>
      </c>
      <c r="F23" s="411">
        <f>AVERAGE(W29:AB29)</f>
        <v>396</v>
      </c>
      <c r="G23" s="409"/>
      <c r="H23" s="411">
        <f>+F23*(1+H34)</f>
        <v>429.65999999999997</v>
      </c>
      <c r="I23" s="409"/>
      <c r="J23" s="411">
        <f>+H23*(1+J34)</f>
        <v>463.99614977187053</v>
      </c>
      <c r="K23" s="409"/>
      <c r="L23" s="411">
        <f>+J23*(1+L34)</f>
        <v>492.52549706209089</v>
      </c>
      <c r="M23" s="409"/>
      <c r="N23" s="411">
        <f>+L23*(1+N34)</f>
        <v>520.75057671537388</v>
      </c>
      <c r="O23" s="406"/>
      <c r="Q23" s="534">
        <f>Q29+Q35+Q41</f>
        <v>475</v>
      </c>
      <c r="R23" s="534">
        <f t="shared" ref="R23:AB23" si="1">R29+R35+R41</f>
        <v>475</v>
      </c>
      <c r="S23" s="534">
        <f t="shared" si="1"/>
        <v>475</v>
      </c>
      <c r="T23" s="534">
        <f t="shared" si="1"/>
        <v>475</v>
      </c>
      <c r="U23" s="534">
        <f t="shared" si="1"/>
        <v>475</v>
      </c>
      <c r="V23" s="534">
        <f t="shared" si="1"/>
        <v>475</v>
      </c>
      <c r="W23" s="534">
        <f t="shared" si="1"/>
        <v>475</v>
      </c>
      <c r="X23" s="534">
        <f>X29+X35+X41</f>
        <v>475</v>
      </c>
      <c r="Y23" s="534">
        <f t="shared" si="1"/>
        <v>475</v>
      </c>
      <c r="Z23" s="534">
        <f t="shared" si="1"/>
        <v>475</v>
      </c>
      <c r="AA23" s="534">
        <f t="shared" si="1"/>
        <v>475</v>
      </c>
      <c r="AB23" s="534">
        <f t="shared" si="1"/>
        <v>475</v>
      </c>
      <c r="AD23" s="534">
        <v>128</v>
      </c>
      <c r="AE23" s="534">
        <v>128</v>
      </c>
      <c r="AF23" s="534">
        <v>128</v>
      </c>
      <c r="AG23" s="534">
        <v>128</v>
      </c>
      <c r="AH23" s="534">
        <v>128</v>
      </c>
      <c r="AI23" s="534">
        <v>128</v>
      </c>
      <c r="AJ23" s="534">
        <v>128</v>
      </c>
      <c r="AK23" s="534">
        <v>128</v>
      </c>
      <c r="AL23" s="534">
        <v>128</v>
      </c>
      <c r="AM23" s="534">
        <v>128</v>
      </c>
      <c r="AN23" s="534">
        <v>128</v>
      </c>
      <c r="AO23" s="534">
        <v>128</v>
      </c>
    </row>
    <row r="24" spans="2:41" s="302" customFormat="1" ht="12.75" thickBot="1" x14ac:dyDescent="0.25">
      <c r="C24" s="412" t="s">
        <v>66</v>
      </c>
      <c r="F24" s="413">
        <f>SUM(F10:F23)</f>
        <v>834</v>
      </c>
      <c r="G24" s="414"/>
      <c r="H24" s="413">
        <f t="shared" ref="H24:N24" si="2">SUM(H10:H23)</f>
        <v>904.88999999999987</v>
      </c>
      <c r="I24" s="414"/>
      <c r="J24" s="413">
        <f t="shared" si="2"/>
        <v>977.20401239833336</v>
      </c>
      <c r="K24" s="414"/>
      <c r="L24" s="413">
        <f t="shared" si="2"/>
        <v>1037.2885468428883</v>
      </c>
      <c r="M24" s="414"/>
      <c r="N24" s="413">
        <f t="shared" si="2"/>
        <v>1096.7322752035905</v>
      </c>
      <c r="O24" s="406"/>
      <c r="Q24" s="415">
        <f t="shared" ref="Q24:AB24" si="3">SUM(Q10:Q23)</f>
        <v>1000</v>
      </c>
      <c r="R24" s="415">
        <f t="shared" si="3"/>
        <v>1000</v>
      </c>
      <c r="S24" s="415">
        <f t="shared" si="3"/>
        <v>1000</v>
      </c>
      <c r="T24" s="415">
        <f t="shared" si="3"/>
        <v>1000</v>
      </c>
      <c r="U24" s="415">
        <f t="shared" si="3"/>
        <v>1000</v>
      </c>
      <c r="V24" s="415">
        <f t="shared" si="3"/>
        <v>1000</v>
      </c>
      <c r="W24" s="415">
        <f t="shared" si="3"/>
        <v>1000</v>
      </c>
      <c r="X24" s="415">
        <f t="shared" si="3"/>
        <v>1000</v>
      </c>
      <c r="Y24" s="415">
        <f t="shared" si="3"/>
        <v>1000</v>
      </c>
      <c r="Z24" s="415">
        <f t="shared" si="3"/>
        <v>1000</v>
      </c>
      <c r="AA24" s="415">
        <f t="shared" si="3"/>
        <v>1000</v>
      </c>
      <c r="AB24" s="415">
        <f t="shared" si="3"/>
        <v>1000</v>
      </c>
      <c r="AD24" s="415">
        <f t="shared" ref="AD24:AO24" si="4">SUM(AD10:AD23)</f>
        <v>270</v>
      </c>
      <c r="AE24" s="415">
        <f t="shared" si="4"/>
        <v>270</v>
      </c>
      <c r="AF24" s="415">
        <f t="shared" si="4"/>
        <v>270</v>
      </c>
      <c r="AG24" s="415">
        <f t="shared" si="4"/>
        <v>270</v>
      </c>
      <c r="AH24" s="415">
        <f t="shared" si="4"/>
        <v>270</v>
      </c>
      <c r="AI24" s="415">
        <f t="shared" si="4"/>
        <v>270</v>
      </c>
      <c r="AJ24" s="415">
        <f t="shared" si="4"/>
        <v>270</v>
      </c>
      <c r="AK24" s="415">
        <f t="shared" si="4"/>
        <v>270</v>
      </c>
      <c r="AL24" s="415">
        <f t="shared" si="4"/>
        <v>270</v>
      </c>
      <c r="AM24" s="415">
        <f t="shared" si="4"/>
        <v>270</v>
      </c>
      <c r="AN24" s="415">
        <f t="shared" si="4"/>
        <v>270</v>
      </c>
      <c r="AO24" s="415">
        <f t="shared" si="4"/>
        <v>270</v>
      </c>
    </row>
    <row r="25" spans="2:41" s="302" customFormat="1" ht="13.5" thickTop="1" thickBot="1" x14ac:dyDescent="0.25">
      <c r="G25" s="306"/>
      <c r="I25" s="306"/>
      <c r="K25" s="306"/>
      <c r="M25" s="306"/>
    </row>
    <row r="26" spans="2:41" s="302" customFormat="1" ht="12.75" thickBot="1" x14ac:dyDescent="0.25">
      <c r="C26" s="416" t="s">
        <v>328</v>
      </c>
      <c r="F26" s="535">
        <v>332</v>
      </c>
      <c r="G26" s="306"/>
      <c r="H26" s="417"/>
      <c r="I26" s="306"/>
      <c r="J26" s="417"/>
      <c r="K26" s="306"/>
      <c r="L26" s="417"/>
      <c r="M26" s="306"/>
      <c r="N26" s="417"/>
      <c r="Q26" s="709" t="s">
        <v>585</v>
      </c>
      <c r="R26" s="710"/>
      <c r="S26" s="710"/>
      <c r="T26" s="710"/>
      <c r="U26" s="710"/>
      <c r="V26" s="710"/>
      <c r="W26" s="710"/>
      <c r="X26" s="710"/>
      <c r="Y26" s="710"/>
      <c r="Z26" s="710"/>
      <c r="AA26" s="710"/>
      <c r="AB26" s="711"/>
      <c r="AD26" s="709" t="s">
        <v>579</v>
      </c>
      <c r="AE26" s="710"/>
      <c r="AF26" s="710"/>
      <c r="AG26" s="710"/>
      <c r="AH26" s="710"/>
      <c r="AI26" s="710"/>
      <c r="AJ26" s="710"/>
      <c r="AK26" s="710"/>
      <c r="AL26" s="710"/>
      <c r="AM26" s="710"/>
      <c r="AN26" s="710"/>
      <c r="AO26" s="711"/>
    </row>
    <row r="27" spans="2:41" s="302" customFormat="1" ht="12" x14ac:dyDescent="0.2">
      <c r="C27" s="416" t="s">
        <v>329</v>
      </c>
      <c r="F27" s="535">
        <v>19</v>
      </c>
      <c r="G27" s="306"/>
      <c r="H27" s="417"/>
      <c r="I27" s="306"/>
      <c r="J27" s="417"/>
      <c r="K27" s="306"/>
      <c r="L27" s="417"/>
      <c r="M27" s="306"/>
      <c r="N27" s="417"/>
      <c r="Q27" s="403" t="s">
        <v>156</v>
      </c>
      <c r="R27" s="403" t="s">
        <v>157</v>
      </c>
      <c r="S27" s="403" t="s">
        <v>158</v>
      </c>
      <c r="T27" s="403" t="s">
        <v>159</v>
      </c>
      <c r="U27" s="403" t="s">
        <v>160</v>
      </c>
      <c r="V27" s="403" t="s">
        <v>161</v>
      </c>
      <c r="W27" s="403" t="s">
        <v>162</v>
      </c>
      <c r="X27" s="403" t="s">
        <v>163</v>
      </c>
      <c r="Y27" s="403" t="s">
        <v>164</v>
      </c>
      <c r="Z27" s="403" t="s">
        <v>165</v>
      </c>
      <c r="AA27" s="403" t="s">
        <v>166</v>
      </c>
      <c r="AB27" s="403" t="s">
        <v>167</v>
      </c>
      <c r="AD27" s="403" t="s">
        <v>156</v>
      </c>
      <c r="AE27" s="403" t="s">
        <v>157</v>
      </c>
      <c r="AF27" s="403" t="s">
        <v>158</v>
      </c>
      <c r="AG27" s="403" t="s">
        <v>159</v>
      </c>
      <c r="AH27" s="403" t="s">
        <v>160</v>
      </c>
      <c r="AI27" s="403" t="s">
        <v>161</v>
      </c>
      <c r="AJ27" s="403" t="s">
        <v>162</v>
      </c>
      <c r="AK27" s="403" t="s">
        <v>163</v>
      </c>
      <c r="AL27" s="403" t="s">
        <v>164</v>
      </c>
      <c r="AM27" s="403" t="s">
        <v>165</v>
      </c>
      <c r="AN27" s="403" t="s">
        <v>166</v>
      </c>
      <c r="AO27" s="403" t="s">
        <v>167</v>
      </c>
    </row>
    <row r="28" spans="2:41" s="302" customFormat="1" ht="12" x14ac:dyDescent="0.2">
      <c r="C28" s="418" t="s">
        <v>330</v>
      </c>
      <c r="F28" s="535">
        <v>39</v>
      </c>
      <c r="G28" s="306"/>
      <c r="H28" s="417"/>
      <c r="I28" s="306"/>
      <c r="J28" s="417"/>
      <c r="K28" s="306"/>
      <c r="L28" s="417"/>
      <c r="M28" s="306"/>
      <c r="N28" s="417"/>
      <c r="Q28" s="534">
        <f t="shared" ref="Q28:AB29" si="5">AD22+AD28+AD34+AD40+AD46+AD52</f>
        <v>438</v>
      </c>
      <c r="R28" s="534">
        <f t="shared" si="5"/>
        <v>438</v>
      </c>
      <c r="S28" s="534">
        <f t="shared" si="5"/>
        <v>438</v>
      </c>
      <c r="T28" s="534">
        <f t="shared" si="5"/>
        <v>438</v>
      </c>
      <c r="U28" s="534">
        <f t="shared" si="5"/>
        <v>438</v>
      </c>
      <c r="V28" s="534">
        <f t="shared" si="5"/>
        <v>438</v>
      </c>
      <c r="W28" s="534">
        <f t="shared" si="5"/>
        <v>438</v>
      </c>
      <c r="X28" s="534">
        <f t="shared" si="5"/>
        <v>438</v>
      </c>
      <c r="Y28" s="534">
        <f t="shared" si="5"/>
        <v>438</v>
      </c>
      <c r="Z28" s="534">
        <f t="shared" si="5"/>
        <v>438</v>
      </c>
      <c r="AA28" s="534">
        <f t="shared" si="5"/>
        <v>438</v>
      </c>
      <c r="AB28" s="534">
        <f t="shared" si="5"/>
        <v>438</v>
      </c>
      <c r="AD28" s="534">
        <v>103</v>
      </c>
      <c r="AE28" s="534">
        <v>103</v>
      </c>
      <c r="AF28" s="534">
        <v>103</v>
      </c>
      <c r="AG28" s="534">
        <v>103</v>
      </c>
      <c r="AH28" s="534">
        <v>103</v>
      </c>
      <c r="AI28" s="534">
        <v>103</v>
      </c>
      <c r="AJ28" s="534">
        <v>103</v>
      </c>
      <c r="AK28" s="534">
        <v>103</v>
      </c>
      <c r="AL28" s="534">
        <v>103</v>
      </c>
      <c r="AM28" s="534">
        <v>103</v>
      </c>
      <c r="AN28" s="534">
        <v>103</v>
      </c>
      <c r="AO28" s="534">
        <v>103</v>
      </c>
    </row>
    <row r="29" spans="2:41" s="302" customFormat="1" ht="12" x14ac:dyDescent="0.2">
      <c r="C29" s="416" t="s">
        <v>331</v>
      </c>
      <c r="F29" s="535">
        <v>22</v>
      </c>
      <c r="G29" s="306"/>
      <c r="H29" s="417"/>
      <c r="I29" s="306"/>
      <c r="J29" s="417"/>
      <c r="K29" s="306"/>
      <c r="L29" s="417"/>
      <c r="M29" s="306"/>
      <c r="N29" s="417"/>
      <c r="Q29" s="534">
        <f t="shared" si="5"/>
        <v>396</v>
      </c>
      <c r="R29" s="534">
        <f t="shared" si="5"/>
        <v>396</v>
      </c>
      <c r="S29" s="534">
        <f t="shared" si="5"/>
        <v>396</v>
      </c>
      <c r="T29" s="534">
        <f t="shared" si="5"/>
        <v>396</v>
      </c>
      <c r="U29" s="534">
        <f t="shared" si="5"/>
        <v>396</v>
      </c>
      <c r="V29" s="534">
        <f t="shared" si="5"/>
        <v>396</v>
      </c>
      <c r="W29" s="534">
        <f t="shared" si="5"/>
        <v>396</v>
      </c>
      <c r="X29" s="534">
        <f t="shared" si="5"/>
        <v>396</v>
      </c>
      <c r="Y29" s="534">
        <f t="shared" si="5"/>
        <v>396</v>
      </c>
      <c r="Z29" s="534">
        <f t="shared" si="5"/>
        <v>396</v>
      </c>
      <c r="AA29" s="534">
        <f t="shared" si="5"/>
        <v>396</v>
      </c>
      <c r="AB29" s="534">
        <f t="shared" si="5"/>
        <v>396</v>
      </c>
      <c r="AD29" s="534">
        <v>93</v>
      </c>
      <c r="AE29" s="534">
        <v>93</v>
      </c>
      <c r="AF29" s="534">
        <v>93</v>
      </c>
      <c r="AG29" s="534">
        <v>93</v>
      </c>
      <c r="AH29" s="534">
        <v>93</v>
      </c>
      <c r="AI29" s="534">
        <v>93</v>
      </c>
      <c r="AJ29" s="534">
        <v>93</v>
      </c>
      <c r="AK29" s="534">
        <v>93</v>
      </c>
      <c r="AL29" s="534">
        <v>93</v>
      </c>
      <c r="AM29" s="534">
        <v>93</v>
      </c>
      <c r="AN29" s="534">
        <v>93</v>
      </c>
      <c r="AO29" s="534">
        <v>93</v>
      </c>
    </row>
    <row r="30" spans="2:41" s="302" customFormat="1" ht="12" x14ac:dyDescent="0.2">
      <c r="C30" s="416" t="s">
        <v>336</v>
      </c>
      <c r="F30" s="533">
        <v>278</v>
      </c>
      <c r="G30" s="306"/>
      <c r="H30" s="417"/>
      <c r="I30" s="306"/>
      <c r="J30" s="417"/>
      <c r="K30" s="306"/>
      <c r="L30" s="417"/>
      <c r="M30" s="306"/>
      <c r="N30" s="417"/>
      <c r="Q30" s="415">
        <f>SUM(Q28:Q29)</f>
        <v>834</v>
      </c>
      <c r="R30" s="415">
        <f t="shared" ref="R30" si="6">SUM(R28:R29)</f>
        <v>834</v>
      </c>
      <c r="S30" s="415">
        <f t="shared" ref="S30" si="7">SUM(S28:S29)</f>
        <v>834</v>
      </c>
      <c r="T30" s="415">
        <f t="shared" ref="T30" si="8">SUM(T28:T29)</f>
        <v>834</v>
      </c>
      <c r="U30" s="415">
        <f t="shared" ref="U30" si="9">SUM(U28:U29)</f>
        <v>834</v>
      </c>
      <c r="V30" s="415">
        <f t="shared" ref="V30" si="10">SUM(V28:V29)</f>
        <v>834</v>
      </c>
      <c r="W30" s="415">
        <f t="shared" ref="W30" si="11">SUM(W28:W29)</f>
        <v>834</v>
      </c>
      <c r="X30" s="415">
        <f t="shared" ref="X30" si="12">SUM(X28:X29)</f>
        <v>834</v>
      </c>
      <c r="Y30" s="415">
        <f t="shared" ref="Y30" si="13">SUM(Y28:Y29)</f>
        <v>834</v>
      </c>
      <c r="Z30" s="415">
        <f t="shared" ref="Z30" si="14">SUM(Z28:Z29)</f>
        <v>834</v>
      </c>
      <c r="AA30" s="415">
        <f t="shared" ref="AA30" si="15">SUM(AA28:AA29)</f>
        <v>834</v>
      </c>
      <c r="AB30" s="415">
        <f t="shared" ref="AB30" si="16">SUM(AB28:AB29)</f>
        <v>834</v>
      </c>
      <c r="AD30" s="415">
        <f>SUM(AD28:AD29)</f>
        <v>196</v>
      </c>
      <c r="AE30" s="415">
        <f t="shared" ref="AE30" si="17">SUM(AE28:AE29)</f>
        <v>196</v>
      </c>
      <c r="AF30" s="415">
        <f t="shared" ref="AF30" si="18">SUM(AF28:AF29)</f>
        <v>196</v>
      </c>
      <c r="AG30" s="415">
        <f t="shared" ref="AG30" si="19">SUM(AG28:AG29)</f>
        <v>196</v>
      </c>
      <c r="AH30" s="415">
        <f t="shared" ref="AH30" si="20">SUM(AH28:AH29)</f>
        <v>196</v>
      </c>
      <c r="AI30" s="415">
        <f t="shared" ref="AI30" si="21">SUM(AI28:AI29)</f>
        <v>196</v>
      </c>
      <c r="AJ30" s="415">
        <f t="shared" ref="AJ30" si="22">SUM(AJ28:AJ29)</f>
        <v>196</v>
      </c>
      <c r="AK30" s="415">
        <f t="shared" ref="AK30" si="23">SUM(AK28:AK29)</f>
        <v>196</v>
      </c>
      <c r="AL30" s="415">
        <f t="shared" ref="AL30" si="24">SUM(AL28:AL29)</f>
        <v>196</v>
      </c>
      <c r="AM30" s="415">
        <f t="shared" ref="AM30" si="25">SUM(AM28:AM29)</f>
        <v>196</v>
      </c>
      <c r="AN30" s="415">
        <f t="shared" ref="AN30" si="26">SUM(AN28:AN29)</f>
        <v>196</v>
      </c>
      <c r="AO30" s="415">
        <f t="shared" ref="AO30" si="27">SUM(AO28:AO29)</f>
        <v>196</v>
      </c>
    </row>
    <row r="31" spans="2:41" s="302" customFormat="1" ht="12.75" thickBot="1" x14ac:dyDescent="0.25">
      <c r="G31" s="306"/>
      <c r="I31" s="306"/>
      <c r="K31" s="306"/>
      <c r="M31" s="306"/>
    </row>
    <row r="32" spans="2:41" s="302" customFormat="1" ht="12.75" thickBot="1" x14ac:dyDescent="0.25">
      <c r="B32" s="709" t="s">
        <v>71</v>
      </c>
      <c r="C32" s="710"/>
      <c r="D32" s="710"/>
      <c r="E32" s="710"/>
      <c r="F32" s="710"/>
      <c r="G32" s="710"/>
      <c r="H32" s="710"/>
      <c r="I32" s="710"/>
      <c r="J32" s="710"/>
      <c r="K32" s="710"/>
      <c r="L32" s="710"/>
      <c r="M32" s="710"/>
      <c r="N32" s="710"/>
      <c r="O32" s="711"/>
      <c r="Q32" s="709" t="s">
        <v>587</v>
      </c>
      <c r="R32" s="710"/>
      <c r="S32" s="710"/>
      <c r="T32" s="710"/>
      <c r="U32" s="710"/>
      <c r="V32" s="710"/>
      <c r="W32" s="710"/>
      <c r="X32" s="710"/>
      <c r="Y32" s="710"/>
      <c r="Z32" s="710"/>
      <c r="AA32" s="710"/>
      <c r="AB32" s="711"/>
      <c r="AD32" s="709" t="s">
        <v>580</v>
      </c>
      <c r="AE32" s="710"/>
      <c r="AF32" s="710"/>
      <c r="AG32" s="710"/>
      <c r="AH32" s="710"/>
      <c r="AI32" s="710"/>
      <c r="AJ32" s="710"/>
      <c r="AK32" s="710"/>
      <c r="AL32" s="710"/>
      <c r="AM32" s="710"/>
      <c r="AN32" s="710"/>
      <c r="AO32" s="711"/>
    </row>
    <row r="33" spans="2:41" s="302" customFormat="1" ht="12" x14ac:dyDescent="0.2">
      <c r="G33" s="306"/>
      <c r="I33" s="306"/>
      <c r="K33" s="306"/>
      <c r="M33" s="306"/>
      <c r="Q33" s="403" t="s">
        <v>156</v>
      </c>
      <c r="R33" s="403" t="s">
        <v>157</v>
      </c>
      <c r="S33" s="403" t="s">
        <v>158</v>
      </c>
      <c r="T33" s="403" t="s">
        <v>159</v>
      </c>
      <c r="U33" s="403" t="s">
        <v>160</v>
      </c>
      <c r="V33" s="403" t="s">
        <v>161</v>
      </c>
      <c r="W33" s="403" t="s">
        <v>162</v>
      </c>
      <c r="X33" s="403" t="s">
        <v>163</v>
      </c>
      <c r="Y33" s="403" t="s">
        <v>164</v>
      </c>
      <c r="Z33" s="403" t="s">
        <v>165</v>
      </c>
      <c r="AA33" s="403" t="s">
        <v>166</v>
      </c>
      <c r="AB33" s="403" t="s">
        <v>167</v>
      </c>
      <c r="AD33" s="403" t="s">
        <v>156</v>
      </c>
      <c r="AE33" s="403" t="s">
        <v>157</v>
      </c>
      <c r="AF33" s="403" t="s">
        <v>158</v>
      </c>
      <c r="AG33" s="403" t="s">
        <v>159</v>
      </c>
      <c r="AH33" s="403" t="s">
        <v>160</v>
      </c>
      <c r="AI33" s="403" t="s">
        <v>161</v>
      </c>
      <c r="AJ33" s="403" t="s">
        <v>162</v>
      </c>
      <c r="AK33" s="403" t="s">
        <v>163</v>
      </c>
      <c r="AL33" s="403" t="s">
        <v>164</v>
      </c>
      <c r="AM33" s="403" t="s">
        <v>165</v>
      </c>
      <c r="AN33" s="403" t="s">
        <v>166</v>
      </c>
      <c r="AO33" s="403" t="s">
        <v>167</v>
      </c>
    </row>
    <row r="34" spans="2:41" s="302" customFormat="1" ht="12" x14ac:dyDescent="0.2">
      <c r="B34" s="302" t="s">
        <v>187</v>
      </c>
      <c r="F34" s="419" t="s">
        <v>84</v>
      </c>
      <c r="G34" s="305"/>
      <c r="H34" s="420">
        <v>8.5000000000000006E-2</v>
      </c>
      <c r="I34" s="421"/>
      <c r="J34" s="420">
        <v>7.9914699464391795E-2</v>
      </c>
      <c r="K34" s="421"/>
      <c r="L34" s="420">
        <v>6.1486172469851615E-2</v>
      </c>
      <c r="M34" s="421"/>
      <c r="N34" s="420">
        <v>5.7306839588296035E-2</v>
      </c>
      <c r="Q34" s="534">
        <v>36</v>
      </c>
      <c r="R34" s="534">
        <v>36</v>
      </c>
      <c r="S34" s="534">
        <v>36</v>
      </c>
      <c r="T34" s="534">
        <v>36</v>
      </c>
      <c r="U34" s="534">
        <v>36</v>
      </c>
      <c r="V34" s="534">
        <v>36</v>
      </c>
      <c r="W34" s="534">
        <v>36</v>
      </c>
      <c r="X34" s="534">
        <v>36</v>
      </c>
      <c r="Y34" s="534">
        <v>36</v>
      </c>
      <c r="Z34" s="534">
        <v>36</v>
      </c>
      <c r="AA34" s="534">
        <v>36</v>
      </c>
      <c r="AB34" s="534">
        <v>36</v>
      </c>
      <c r="AD34" s="534">
        <v>45</v>
      </c>
      <c r="AE34" s="534">
        <v>45</v>
      </c>
      <c r="AF34" s="534">
        <v>45</v>
      </c>
      <c r="AG34" s="534">
        <v>45</v>
      </c>
      <c r="AH34" s="534">
        <v>45</v>
      </c>
      <c r="AI34" s="534">
        <v>45</v>
      </c>
      <c r="AJ34" s="534">
        <v>45</v>
      </c>
      <c r="AK34" s="534">
        <v>45</v>
      </c>
      <c r="AL34" s="534">
        <v>45</v>
      </c>
      <c r="AM34" s="534">
        <v>45</v>
      </c>
      <c r="AN34" s="534">
        <v>45</v>
      </c>
      <c r="AO34" s="534">
        <v>45</v>
      </c>
    </row>
    <row r="35" spans="2:41" s="302" customFormat="1" ht="12" x14ac:dyDescent="0.2">
      <c r="B35" s="302" t="s">
        <v>255</v>
      </c>
      <c r="F35" s="532">
        <v>7200</v>
      </c>
      <c r="G35" s="305"/>
      <c r="H35" s="305">
        <f>$F$35</f>
        <v>7200</v>
      </c>
      <c r="I35" s="305"/>
      <c r="J35" s="305">
        <f>$F$35</f>
        <v>7200</v>
      </c>
      <c r="K35" s="305"/>
      <c r="L35" s="305">
        <f>$F$35</f>
        <v>7200</v>
      </c>
      <c r="M35" s="305"/>
      <c r="N35" s="305">
        <f>$F$35</f>
        <v>7200</v>
      </c>
      <c r="Q35" s="534">
        <v>32</v>
      </c>
      <c r="R35" s="534">
        <v>32</v>
      </c>
      <c r="S35" s="534">
        <v>32</v>
      </c>
      <c r="T35" s="534">
        <v>32</v>
      </c>
      <c r="U35" s="534">
        <v>32</v>
      </c>
      <c r="V35" s="534">
        <v>32</v>
      </c>
      <c r="W35" s="534">
        <v>32</v>
      </c>
      <c r="X35" s="534">
        <v>32</v>
      </c>
      <c r="Y35" s="534">
        <v>32</v>
      </c>
      <c r="Z35" s="534">
        <v>32</v>
      </c>
      <c r="AA35" s="534">
        <v>32</v>
      </c>
      <c r="AB35" s="534">
        <v>32</v>
      </c>
      <c r="AD35" s="534">
        <v>41</v>
      </c>
      <c r="AE35" s="534">
        <v>41</v>
      </c>
      <c r="AF35" s="534">
        <v>41</v>
      </c>
      <c r="AG35" s="534">
        <v>41</v>
      </c>
      <c r="AH35" s="534">
        <v>41</v>
      </c>
      <c r="AI35" s="534">
        <v>41</v>
      </c>
      <c r="AJ35" s="534">
        <v>41</v>
      </c>
      <c r="AK35" s="534">
        <v>41</v>
      </c>
      <c r="AL35" s="534">
        <v>41</v>
      </c>
      <c r="AM35" s="534">
        <v>41</v>
      </c>
      <c r="AN35" s="534">
        <v>41</v>
      </c>
      <c r="AO35" s="534">
        <v>41</v>
      </c>
    </row>
    <row r="36" spans="2:41" s="302" customFormat="1" ht="12" x14ac:dyDescent="0.2">
      <c r="B36" s="302" t="s">
        <v>256</v>
      </c>
      <c r="F36" s="422">
        <v>0.3</v>
      </c>
      <c r="G36" s="306"/>
      <c r="H36" s="422">
        <f>F36</f>
        <v>0.3</v>
      </c>
      <c r="I36" s="306"/>
      <c r="J36" s="422">
        <f>H36</f>
        <v>0.3</v>
      </c>
      <c r="K36" s="306"/>
      <c r="L36" s="422">
        <f>J36</f>
        <v>0.3</v>
      </c>
      <c r="M36" s="306"/>
      <c r="N36" s="422">
        <f>L36</f>
        <v>0.3</v>
      </c>
      <c r="Q36" s="415">
        <f>SUM(Q34:Q35)</f>
        <v>68</v>
      </c>
      <c r="R36" s="415">
        <f t="shared" ref="R36" si="28">SUM(R34:R35)</f>
        <v>68</v>
      </c>
      <c r="S36" s="415">
        <f t="shared" ref="S36" si="29">SUM(S34:S35)</f>
        <v>68</v>
      </c>
      <c r="T36" s="415">
        <f t="shared" ref="T36" si="30">SUM(T34:T35)</f>
        <v>68</v>
      </c>
      <c r="U36" s="415">
        <f t="shared" ref="U36" si="31">SUM(U34:U35)</f>
        <v>68</v>
      </c>
      <c r="V36" s="415">
        <f t="shared" ref="V36" si="32">SUM(V34:V35)</f>
        <v>68</v>
      </c>
      <c r="W36" s="415">
        <f t="shared" ref="W36" si="33">SUM(W34:W35)</f>
        <v>68</v>
      </c>
      <c r="X36" s="415">
        <f t="shared" ref="X36" si="34">SUM(X34:X35)</f>
        <v>68</v>
      </c>
      <c r="Y36" s="415">
        <f t="shared" ref="Y36" si="35">SUM(Y34:Y35)</f>
        <v>68</v>
      </c>
      <c r="Z36" s="415">
        <f t="shared" ref="Z36" si="36">SUM(Z34:Z35)</f>
        <v>68</v>
      </c>
      <c r="AA36" s="415">
        <f t="shared" ref="AA36" si="37">SUM(AA34:AA35)</f>
        <v>68</v>
      </c>
      <c r="AB36" s="415">
        <f t="shared" ref="AB36" si="38">SUM(AB34:AB35)</f>
        <v>68</v>
      </c>
      <c r="AD36" s="415">
        <f>SUM(AD34:AD35)</f>
        <v>86</v>
      </c>
      <c r="AE36" s="415">
        <f t="shared" ref="AE36" si="39">SUM(AE34:AE35)</f>
        <v>86</v>
      </c>
      <c r="AF36" s="415">
        <f t="shared" ref="AF36" si="40">SUM(AF34:AF35)</f>
        <v>86</v>
      </c>
      <c r="AG36" s="415">
        <f t="shared" ref="AG36" si="41">SUM(AG34:AG35)</f>
        <v>86</v>
      </c>
      <c r="AH36" s="415">
        <f t="shared" ref="AH36" si="42">SUM(AH34:AH35)</f>
        <v>86</v>
      </c>
      <c r="AI36" s="415">
        <f t="shared" ref="AI36" si="43">SUM(AI34:AI35)</f>
        <v>86</v>
      </c>
      <c r="AJ36" s="415">
        <f t="shared" ref="AJ36" si="44">SUM(AJ34:AJ35)</f>
        <v>86</v>
      </c>
      <c r="AK36" s="415">
        <f t="shared" ref="AK36" si="45">SUM(AK34:AK35)</f>
        <v>86</v>
      </c>
      <c r="AL36" s="415">
        <f t="shared" ref="AL36" si="46">SUM(AL34:AL35)</f>
        <v>86</v>
      </c>
      <c r="AM36" s="415">
        <f t="shared" ref="AM36" si="47">SUM(AM34:AM35)</f>
        <v>86</v>
      </c>
      <c r="AN36" s="415">
        <f t="shared" ref="AN36" si="48">SUM(AN34:AN35)</f>
        <v>86</v>
      </c>
      <c r="AO36" s="415">
        <f t="shared" ref="AO36" si="49">SUM(AO34:AO35)</f>
        <v>86</v>
      </c>
    </row>
    <row r="37" spans="2:41" s="302" customFormat="1" ht="12.75" thickBot="1" x14ac:dyDescent="0.25">
      <c r="B37" s="302" t="s">
        <v>257</v>
      </c>
      <c r="F37" s="305">
        <f>F35*F36</f>
        <v>2160</v>
      </c>
      <c r="G37" s="305"/>
      <c r="H37" s="305">
        <f>H35*H36</f>
        <v>2160</v>
      </c>
      <c r="I37" s="305"/>
      <c r="J37" s="305">
        <f>J35*J36</f>
        <v>2160</v>
      </c>
      <c r="K37" s="305"/>
      <c r="L37" s="305">
        <f>L35*L36</f>
        <v>2160</v>
      </c>
      <c r="M37" s="305"/>
      <c r="N37" s="305">
        <f>N35*N36</f>
        <v>2160</v>
      </c>
    </row>
    <row r="38" spans="2:41" s="302" customFormat="1" ht="12.75" thickBot="1" x14ac:dyDescent="0.25">
      <c r="F38" s="305"/>
      <c r="G38" s="305"/>
      <c r="H38" s="305"/>
      <c r="I38" s="305"/>
      <c r="J38" s="305"/>
      <c r="K38" s="305"/>
      <c r="L38" s="305"/>
      <c r="M38" s="305"/>
      <c r="N38" s="305"/>
      <c r="Q38" s="709" t="s">
        <v>586</v>
      </c>
      <c r="R38" s="710"/>
      <c r="S38" s="710"/>
      <c r="T38" s="710"/>
      <c r="U38" s="710"/>
      <c r="V38" s="710"/>
      <c r="W38" s="710"/>
      <c r="X38" s="710"/>
      <c r="Y38" s="710"/>
      <c r="Z38" s="710"/>
      <c r="AA38" s="710"/>
      <c r="AB38" s="711"/>
      <c r="AD38" s="709" t="s">
        <v>581</v>
      </c>
      <c r="AE38" s="710"/>
      <c r="AF38" s="710"/>
      <c r="AG38" s="710"/>
      <c r="AH38" s="710"/>
      <c r="AI38" s="710"/>
      <c r="AJ38" s="710"/>
      <c r="AK38" s="710"/>
      <c r="AL38" s="710"/>
      <c r="AM38" s="710"/>
      <c r="AN38" s="710"/>
      <c r="AO38" s="711"/>
    </row>
    <row r="39" spans="2:41" s="302" customFormat="1" ht="12" x14ac:dyDescent="0.2">
      <c r="B39" s="423" t="s">
        <v>72</v>
      </c>
      <c r="G39" s="306"/>
      <c r="I39" s="306"/>
      <c r="K39" s="306"/>
      <c r="M39" s="306"/>
      <c r="Q39" s="403" t="s">
        <v>156</v>
      </c>
      <c r="R39" s="403" t="s">
        <v>157</v>
      </c>
      <c r="S39" s="403" t="s">
        <v>158</v>
      </c>
      <c r="T39" s="403" t="s">
        <v>159</v>
      </c>
      <c r="U39" s="403" t="s">
        <v>160</v>
      </c>
      <c r="V39" s="403" t="s">
        <v>161</v>
      </c>
      <c r="W39" s="403" t="s">
        <v>162</v>
      </c>
      <c r="X39" s="403" t="s">
        <v>163</v>
      </c>
      <c r="Y39" s="403" t="s">
        <v>164</v>
      </c>
      <c r="Z39" s="403" t="s">
        <v>165</v>
      </c>
      <c r="AA39" s="403" t="s">
        <v>166</v>
      </c>
      <c r="AB39" s="403" t="s">
        <v>167</v>
      </c>
      <c r="AD39" s="403" t="s">
        <v>156</v>
      </c>
      <c r="AE39" s="403" t="s">
        <v>157</v>
      </c>
      <c r="AF39" s="403" t="s">
        <v>158</v>
      </c>
      <c r="AG39" s="403" t="s">
        <v>159</v>
      </c>
      <c r="AH39" s="403" t="s">
        <v>160</v>
      </c>
      <c r="AI39" s="403" t="s">
        <v>161</v>
      </c>
      <c r="AJ39" s="403" t="s">
        <v>162</v>
      </c>
      <c r="AK39" s="403" t="s">
        <v>163</v>
      </c>
      <c r="AL39" s="403" t="s">
        <v>164</v>
      </c>
      <c r="AM39" s="403" t="s">
        <v>165</v>
      </c>
      <c r="AN39" s="403" t="s">
        <v>166</v>
      </c>
      <c r="AO39" s="403" t="s">
        <v>167</v>
      </c>
    </row>
    <row r="40" spans="2:41" s="302" customFormat="1" ht="12" x14ac:dyDescent="0.2">
      <c r="B40" s="424" t="s">
        <v>349</v>
      </c>
      <c r="F40" s="425">
        <v>0.26400000000000001</v>
      </c>
      <c r="G40" s="313"/>
      <c r="H40" s="314">
        <f>F40</f>
        <v>0.26400000000000001</v>
      </c>
      <c r="I40" s="315"/>
      <c r="J40" s="314">
        <f t="shared" ref="J40" si="50">H40</f>
        <v>0.26400000000000001</v>
      </c>
      <c r="K40" s="315"/>
      <c r="L40" s="314">
        <f>J40</f>
        <v>0.26400000000000001</v>
      </c>
      <c r="M40" s="315"/>
      <c r="N40" s="314">
        <f>L40</f>
        <v>0.26400000000000001</v>
      </c>
      <c r="Q40" s="534">
        <v>51</v>
      </c>
      <c r="R40" s="534">
        <v>51</v>
      </c>
      <c r="S40" s="534">
        <v>51</v>
      </c>
      <c r="T40" s="534">
        <v>51</v>
      </c>
      <c r="U40" s="534">
        <v>51</v>
      </c>
      <c r="V40" s="534">
        <v>51</v>
      </c>
      <c r="W40" s="534">
        <v>51</v>
      </c>
      <c r="X40" s="534">
        <v>51</v>
      </c>
      <c r="Y40" s="534">
        <v>51</v>
      </c>
      <c r="Z40" s="534">
        <v>51</v>
      </c>
      <c r="AA40" s="534">
        <v>51</v>
      </c>
      <c r="AB40" s="534">
        <v>51</v>
      </c>
      <c r="AD40" s="534">
        <v>58</v>
      </c>
      <c r="AE40" s="534">
        <v>58</v>
      </c>
      <c r="AF40" s="534">
        <v>58</v>
      </c>
      <c r="AG40" s="534">
        <v>58</v>
      </c>
      <c r="AH40" s="534">
        <v>58</v>
      </c>
      <c r="AI40" s="534">
        <v>58</v>
      </c>
      <c r="AJ40" s="534">
        <v>58</v>
      </c>
      <c r="AK40" s="534">
        <v>58</v>
      </c>
      <c r="AL40" s="534">
        <v>58</v>
      </c>
      <c r="AM40" s="534">
        <v>58</v>
      </c>
      <c r="AN40" s="534">
        <v>58</v>
      </c>
      <c r="AO40" s="534">
        <v>58</v>
      </c>
    </row>
    <row r="41" spans="2:41" s="302" customFormat="1" ht="12" x14ac:dyDescent="0.2">
      <c r="B41" s="424" t="s">
        <v>350</v>
      </c>
      <c r="F41" s="425">
        <v>0.28999999999999998</v>
      </c>
      <c r="G41" s="313"/>
      <c r="H41" s="314">
        <f t="shared" ref="H41:H44" si="51">F41</f>
        <v>0.28999999999999998</v>
      </c>
      <c r="I41" s="315"/>
      <c r="J41" s="314">
        <f>H41</f>
        <v>0.28999999999999998</v>
      </c>
      <c r="K41" s="315"/>
      <c r="L41" s="314">
        <f>J41</f>
        <v>0.28999999999999998</v>
      </c>
      <c r="M41" s="315"/>
      <c r="N41" s="314">
        <f>L41</f>
        <v>0.28999999999999998</v>
      </c>
      <c r="Q41" s="534">
        <v>47</v>
      </c>
      <c r="R41" s="534">
        <v>47</v>
      </c>
      <c r="S41" s="534">
        <v>47</v>
      </c>
      <c r="T41" s="534">
        <v>47</v>
      </c>
      <c r="U41" s="534">
        <v>47</v>
      </c>
      <c r="V41" s="534">
        <v>47</v>
      </c>
      <c r="W41" s="534">
        <v>47</v>
      </c>
      <c r="X41" s="534">
        <v>47</v>
      </c>
      <c r="Y41" s="534">
        <v>47</v>
      </c>
      <c r="Z41" s="534">
        <v>47</v>
      </c>
      <c r="AA41" s="534">
        <v>47</v>
      </c>
      <c r="AB41" s="534">
        <v>47</v>
      </c>
      <c r="AD41" s="534">
        <v>52</v>
      </c>
      <c r="AE41" s="534">
        <v>52</v>
      </c>
      <c r="AF41" s="534">
        <v>52</v>
      </c>
      <c r="AG41" s="534">
        <v>52</v>
      </c>
      <c r="AH41" s="534">
        <v>52</v>
      </c>
      <c r="AI41" s="534">
        <v>52</v>
      </c>
      <c r="AJ41" s="534">
        <v>52</v>
      </c>
      <c r="AK41" s="534">
        <v>52</v>
      </c>
      <c r="AL41" s="534">
        <v>52</v>
      </c>
      <c r="AM41" s="534">
        <v>52</v>
      </c>
      <c r="AN41" s="534">
        <v>52</v>
      </c>
      <c r="AO41" s="534">
        <v>52</v>
      </c>
    </row>
    <row r="42" spans="2:41" s="302" customFormat="1" ht="12" x14ac:dyDescent="0.2">
      <c r="B42" s="424" t="s">
        <v>351</v>
      </c>
      <c r="F42" s="425">
        <v>1E-3</v>
      </c>
      <c r="G42" s="313"/>
      <c r="H42" s="314">
        <f t="shared" si="51"/>
        <v>1E-3</v>
      </c>
      <c r="I42" s="315"/>
      <c r="J42" s="314">
        <f>H42</f>
        <v>1E-3</v>
      </c>
      <c r="K42" s="315"/>
      <c r="L42" s="314">
        <f>J42</f>
        <v>1E-3</v>
      </c>
      <c r="M42" s="315"/>
      <c r="N42" s="314">
        <f>L42</f>
        <v>1E-3</v>
      </c>
      <c r="Q42" s="415">
        <f>SUM(Q40:Q41)</f>
        <v>98</v>
      </c>
      <c r="R42" s="415">
        <f t="shared" ref="R42" si="52">SUM(R40:R41)</f>
        <v>98</v>
      </c>
      <c r="S42" s="415">
        <f t="shared" ref="S42" si="53">SUM(S40:S41)</f>
        <v>98</v>
      </c>
      <c r="T42" s="415">
        <f t="shared" ref="T42" si="54">SUM(T40:T41)</f>
        <v>98</v>
      </c>
      <c r="U42" s="415">
        <f t="shared" ref="U42" si="55">SUM(U40:U41)</f>
        <v>98</v>
      </c>
      <c r="V42" s="415">
        <f t="shared" ref="V42" si="56">SUM(V40:V41)</f>
        <v>98</v>
      </c>
      <c r="W42" s="415">
        <f t="shared" ref="W42" si="57">SUM(W40:W41)</f>
        <v>98</v>
      </c>
      <c r="X42" s="415">
        <f t="shared" ref="X42" si="58">SUM(X40:X41)</f>
        <v>98</v>
      </c>
      <c r="Y42" s="415">
        <f t="shared" ref="Y42" si="59">SUM(Y40:Y41)</f>
        <v>98</v>
      </c>
      <c r="Z42" s="415">
        <f t="shared" ref="Z42" si="60">SUM(Z40:Z41)</f>
        <v>98</v>
      </c>
      <c r="AA42" s="415">
        <f t="shared" ref="AA42" si="61">SUM(AA40:AA41)</f>
        <v>98</v>
      </c>
      <c r="AB42" s="415">
        <f t="shared" ref="AB42" si="62">SUM(AB40:AB41)</f>
        <v>98</v>
      </c>
      <c r="AD42" s="415">
        <f>SUM(AD40:AD41)</f>
        <v>110</v>
      </c>
      <c r="AE42" s="415">
        <f t="shared" ref="AE42" si="63">SUM(AE40:AE41)</f>
        <v>110</v>
      </c>
      <c r="AF42" s="415">
        <f t="shared" ref="AF42" si="64">SUM(AF40:AF41)</f>
        <v>110</v>
      </c>
      <c r="AG42" s="415">
        <f t="shared" ref="AG42" si="65">SUM(AG40:AG41)</f>
        <v>110</v>
      </c>
      <c r="AH42" s="415">
        <f t="shared" ref="AH42" si="66">SUM(AH40:AH41)</f>
        <v>110</v>
      </c>
      <c r="AI42" s="415">
        <f t="shared" ref="AI42" si="67">SUM(AI40:AI41)</f>
        <v>110</v>
      </c>
      <c r="AJ42" s="415">
        <f t="shared" ref="AJ42" si="68">SUM(AJ40:AJ41)</f>
        <v>110</v>
      </c>
      <c r="AK42" s="415">
        <f t="shared" ref="AK42" si="69">SUM(AK40:AK41)</f>
        <v>110</v>
      </c>
      <c r="AL42" s="415">
        <f t="shared" ref="AL42" si="70">SUM(AL40:AL41)</f>
        <v>110</v>
      </c>
      <c r="AM42" s="415">
        <f t="shared" ref="AM42" si="71">SUM(AM40:AM41)</f>
        <v>110</v>
      </c>
      <c r="AN42" s="415">
        <f t="shared" ref="AN42" si="72">SUM(AN40:AN41)</f>
        <v>110</v>
      </c>
      <c r="AO42" s="415">
        <f t="shared" ref="AO42" si="73">SUM(AO40:AO41)</f>
        <v>110</v>
      </c>
    </row>
    <row r="43" spans="2:41" s="302" customFormat="1" ht="12.75" thickBot="1" x14ac:dyDescent="0.25">
      <c r="B43" s="424" t="s">
        <v>352</v>
      </c>
      <c r="F43" s="425">
        <v>3.1E-2</v>
      </c>
      <c r="G43" s="313"/>
      <c r="H43" s="314">
        <f t="shared" si="51"/>
        <v>3.1E-2</v>
      </c>
      <c r="I43" s="315"/>
      <c r="J43" s="314">
        <f>H43</f>
        <v>3.1E-2</v>
      </c>
      <c r="K43" s="315"/>
      <c r="L43" s="314">
        <f>J43</f>
        <v>3.1E-2</v>
      </c>
      <c r="M43" s="315"/>
      <c r="N43" s="314">
        <f>L43</f>
        <v>3.1E-2</v>
      </c>
    </row>
    <row r="44" spans="2:41" s="302" customFormat="1" ht="15.75" thickBot="1" x14ac:dyDescent="0.3">
      <c r="B44" s="424" t="s">
        <v>353</v>
      </c>
      <c r="F44" s="425">
        <v>0.41399999999999998</v>
      </c>
      <c r="G44" s="313"/>
      <c r="H44" s="314">
        <f t="shared" si="51"/>
        <v>0.41399999999999998</v>
      </c>
      <c r="I44" s="315"/>
      <c r="J44" s="314">
        <f>H44</f>
        <v>0.41399999999999998</v>
      </c>
      <c r="K44" s="315"/>
      <c r="L44" s="314">
        <f>J44</f>
        <v>0.41399999999999998</v>
      </c>
      <c r="M44" s="315"/>
      <c r="N44" s="314">
        <f>L44</f>
        <v>0.41399999999999998</v>
      </c>
      <c r="Q44" s="427"/>
      <c r="R44" s="427"/>
      <c r="S44" s="427"/>
      <c r="T44" s="427"/>
      <c r="U44" s="427"/>
      <c r="V44" s="427"/>
      <c r="W44" s="427"/>
      <c r="X44" s="427"/>
      <c r="Y44" s="427"/>
      <c r="Z44" s="427"/>
      <c r="AA44" s="427"/>
      <c r="AD44" s="709" t="s">
        <v>582</v>
      </c>
      <c r="AE44" s="710"/>
      <c r="AF44" s="710"/>
      <c r="AG44" s="710"/>
      <c r="AH44" s="710"/>
      <c r="AI44" s="710"/>
      <c r="AJ44" s="710"/>
      <c r="AK44" s="710"/>
      <c r="AL44" s="710"/>
      <c r="AM44" s="710"/>
      <c r="AN44" s="710"/>
      <c r="AO44" s="711"/>
    </row>
    <row r="45" spans="2:41" s="302" customFormat="1" x14ac:dyDescent="0.25">
      <c r="F45" s="426">
        <f>SUM(F40:F44)</f>
        <v>1</v>
      </c>
      <c r="G45" s="315"/>
      <c r="H45" s="426">
        <f t="shared" ref="H45:N45" si="74">SUM(H40:H44)</f>
        <v>1</v>
      </c>
      <c r="I45" s="315"/>
      <c r="J45" s="426">
        <f t="shared" si="74"/>
        <v>1</v>
      </c>
      <c r="K45" s="315"/>
      <c r="L45" s="426">
        <f t="shared" si="74"/>
        <v>1</v>
      </c>
      <c r="M45" s="315"/>
      <c r="N45" s="426">
        <f t="shared" si="74"/>
        <v>1</v>
      </c>
      <c r="Q45" s="427"/>
      <c r="R45" s="427"/>
      <c r="S45" s="427"/>
      <c r="T45" s="427"/>
      <c r="U45" s="427"/>
      <c r="V45" s="427"/>
      <c r="W45" s="427"/>
      <c r="X45" s="427"/>
      <c r="Y45" s="427"/>
      <c r="Z45" s="427"/>
      <c r="AA45" s="427"/>
      <c r="AD45" s="403" t="s">
        <v>156</v>
      </c>
      <c r="AE45" s="403" t="s">
        <v>157</v>
      </c>
      <c r="AF45" s="403" t="s">
        <v>158</v>
      </c>
      <c r="AG45" s="403" t="s">
        <v>159</v>
      </c>
      <c r="AH45" s="403" t="s">
        <v>160</v>
      </c>
      <c r="AI45" s="403" t="s">
        <v>161</v>
      </c>
      <c r="AJ45" s="403" t="s">
        <v>162</v>
      </c>
      <c r="AK45" s="403" t="s">
        <v>163</v>
      </c>
      <c r="AL45" s="403" t="s">
        <v>164</v>
      </c>
      <c r="AM45" s="403" t="s">
        <v>165</v>
      </c>
      <c r="AN45" s="403" t="s">
        <v>166</v>
      </c>
      <c r="AO45" s="403" t="s">
        <v>167</v>
      </c>
    </row>
    <row r="46" spans="2:41" s="302" customFormat="1" x14ac:dyDescent="0.25">
      <c r="G46" s="306"/>
      <c r="I46" s="306"/>
      <c r="K46" s="306"/>
      <c r="M46" s="306"/>
      <c r="Q46" s="427"/>
      <c r="R46" s="427"/>
      <c r="S46" s="427"/>
      <c r="T46" s="427"/>
      <c r="U46" s="427"/>
      <c r="V46" s="427"/>
      <c r="W46" s="427"/>
      <c r="X46" s="427"/>
      <c r="Y46" s="427"/>
      <c r="Z46" s="427"/>
      <c r="AA46" s="427"/>
      <c r="AD46" s="534">
        <v>46</v>
      </c>
      <c r="AE46" s="534">
        <v>46</v>
      </c>
      <c r="AF46" s="534">
        <v>46</v>
      </c>
      <c r="AG46" s="534">
        <v>46</v>
      </c>
      <c r="AH46" s="534">
        <v>46</v>
      </c>
      <c r="AI46" s="534">
        <v>46</v>
      </c>
      <c r="AJ46" s="534">
        <v>46</v>
      </c>
      <c r="AK46" s="534">
        <v>46</v>
      </c>
      <c r="AL46" s="534">
        <v>46</v>
      </c>
      <c r="AM46" s="534">
        <v>46</v>
      </c>
      <c r="AN46" s="534">
        <v>46</v>
      </c>
      <c r="AO46" s="534">
        <v>46</v>
      </c>
    </row>
    <row r="47" spans="2:41" s="302" customFormat="1" ht="12" customHeight="1" x14ac:dyDescent="0.25">
      <c r="B47" s="423" t="s">
        <v>74</v>
      </c>
      <c r="G47" s="306"/>
      <c r="I47" s="306"/>
      <c r="K47" s="306"/>
      <c r="M47" s="306"/>
      <c r="Q47" s="427"/>
      <c r="R47" s="427"/>
      <c r="S47" s="427"/>
      <c r="T47" s="427"/>
      <c r="U47" s="427"/>
      <c r="V47" s="427"/>
      <c r="W47" s="427"/>
      <c r="X47" s="427"/>
      <c r="Y47" s="427"/>
      <c r="Z47" s="427"/>
      <c r="AA47" s="427"/>
      <c r="AD47" s="534">
        <v>42</v>
      </c>
      <c r="AE47" s="534">
        <v>42</v>
      </c>
      <c r="AF47" s="534">
        <v>42</v>
      </c>
      <c r="AG47" s="534">
        <v>42</v>
      </c>
      <c r="AH47" s="534">
        <v>42</v>
      </c>
      <c r="AI47" s="534">
        <v>42</v>
      </c>
      <c r="AJ47" s="534">
        <v>42</v>
      </c>
      <c r="AK47" s="534">
        <v>42</v>
      </c>
      <c r="AL47" s="534">
        <v>42</v>
      </c>
      <c r="AM47" s="534">
        <v>42</v>
      </c>
      <c r="AN47" s="534">
        <v>42</v>
      </c>
      <c r="AO47" s="534">
        <v>42</v>
      </c>
    </row>
    <row r="48" spans="2:41" s="302" customFormat="1" ht="12" customHeight="1" x14ac:dyDescent="0.25">
      <c r="B48" s="424" t="s">
        <v>348</v>
      </c>
      <c r="D48" s="662" t="s">
        <v>592</v>
      </c>
      <c r="F48" s="664">
        <v>0</v>
      </c>
      <c r="G48" s="409"/>
      <c r="H48" s="410"/>
      <c r="I48" s="409"/>
      <c r="J48" s="410"/>
      <c r="K48" s="409"/>
      <c r="L48" s="410"/>
      <c r="M48" s="409"/>
      <c r="N48" s="410"/>
      <c r="Q48" s="427"/>
      <c r="R48" s="427"/>
      <c r="S48" s="427"/>
      <c r="T48" s="427"/>
      <c r="U48" s="427"/>
      <c r="V48" s="427"/>
      <c r="W48" s="427"/>
      <c r="X48" s="427"/>
      <c r="Y48" s="427"/>
      <c r="Z48" s="427"/>
      <c r="AA48" s="427"/>
      <c r="AD48" s="415">
        <f t="shared" ref="AD48:AI48" si="75">SUM(AD46:AD47)</f>
        <v>88</v>
      </c>
      <c r="AE48" s="415">
        <f t="shared" si="75"/>
        <v>88</v>
      </c>
      <c r="AF48" s="415">
        <f t="shared" si="75"/>
        <v>88</v>
      </c>
      <c r="AG48" s="415">
        <f t="shared" si="75"/>
        <v>88</v>
      </c>
      <c r="AH48" s="415">
        <f t="shared" si="75"/>
        <v>88</v>
      </c>
      <c r="AI48" s="415">
        <f t="shared" si="75"/>
        <v>88</v>
      </c>
      <c r="AJ48" s="415">
        <f t="shared" ref="AJ48" si="76">SUM(AJ46:AJ47)</f>
        <v>88</v>
      </c>
      <c r="AK48" s="415">
        <f t="shared" ref="AK48" si="77">SUM(AK46:AK47)</f>
        <v>88</v>
      </c>
      <c r="AL48" s="415">
        <f t="shared" ref="AL48" si="78">SUM(AL46:AL47)</f>
        <v>88</v>
      </c>
      <c r="AM48" s="415">
        <f t="shared" ref="AM48" si="79">SUM(AM46:AM47)</f>
        <v>88</v>
      </c>
      <c r="AN48" s="415">
        <f t="shared" ref="AN48" si="80">SUM(AN46:AN47)</f>
        <v>88</v>
      </c>
      <c r="AO48" s="415">
        <f t="shared" ref="AO48" si="81">SUM(AO46:AO47)</f>
        <v>88</v>
      </c>
    </row>
    <row r="49" spans="2:41" s="302" customFormat="1" ht="12" customHeight="1" thickBot="1" x14ac:dyDescent="0.3">
      <c r="B49" s="424" t="s">
        <v>596</v>
      </c>
      <c r="D49" s="663" t="s">
        <v>278</v>
      </c>
      <c r="F49" s="663">
        <f>((SUMPRODUCT((ISNUMBER(SEARCH(RIGHT(D49,4),'Exp Details'!$D$8:$D$433)))*'Exp Details'!$H$8:$H$433)))+((SUMPRODUCT((ISNUMBER(SEARCH(RIGHT(D49,4),Payroll!$G$8:$G$119)))*Payroll!$H$8:$H$119)))</f>
        <v>0</v>
      </c>
      <c r="G49" s="409"/>
      <c r="H49" s="410"/>
      <c r="I49" s="409"/>
      <c r="J49" s="410"/>
      <c r="K49" s="409"/>
      <c r="L49" s="410"/>
      <c r="M49" s="409"/>
      <c r="N49" s="410"/>
      <c r="Q49" s="427"/>
      <c r="R49" s="427"/>
      <c r="S49" s="427"/>
      <c r="T49" s="427"/>
      <c r="U49" s="427"/>
      <c r="V49" s="427"/>
      <c r="W49" s="427"/>
      <c r="X49" s="427"/>
      <c r="Y49" s="427"/>
      <c r="Z49" s="427"/>
      <c r="AA49" s="427"/>
    </row>
    <row r="50" spans="2:41" s="302" customFormat="1" ht="12" customHeight="1" thickBot="1" x14ac:dyDescent="0.3">
      <c r="B50" s="424" t="s">
        <v>597</v>
      </c>
      <c r="D50" s="663" t="s">
        <v>593</v>
      </c>
      <c r="F50" s="663">
        <f>((SUMPRODUCT((ISNUMBER(SEARCH(RIGHT(D50,4),'Exp Details'!$D$8:$D$433)))*'Exp Details'!$H$8:$H$433)))+((SUMPRODUCT((ISNUMBER(SEARCH(RIGHT(D50,4),Payroll!$G$8:$G$119)))*Payroll!$H$8:$H$119)))</f>
        <v>0</v>
      </c>
      <c r="G50" s="409"/>
      <c r="H50" s="410"/>
      <c r="I50" s="409"/>
      <c r="J50" s="410"/>
      <c r="K50" s="409"/>
      <c r="L50" s="410"/>
      <c r="M50" s="409"/>
      <c r="N50" s="410"/>
      <c r="Q50" s="427"/>
      <c r="R50" s="427"/>
      <c r="S50" s="427"/>
      <c r="T50" s="427"/>
      <c r="U50" s="427"/>
      <c r="V50" s="427"/>
      <c r="W50" s="427"/>
      <c r="X50" s="427"/>
      <c r="Y50" s="427"/>
      <c r="Z50" s="427"/>
      <c r="AA50" s="427"/>
      <c r="AD50" s="709" t="s">
        <v>583</v>
      </c>
      <c r="AE50" s="710"/>
      <c r="AF50" s="710"/>
      <c r="AG50" s="710"/>
      <c r="AH50" s="710"/>
      <c r="AI50" s="710"/>
      <c r="AJ50" s="710"/>
      <c r="AK50" s="710"/>
      <c r="AL50" s="710"/>
      <c r="AM50" s="710"/>
      <c r="AN50" s="710"/>
      <c r="AO50" s="711"/>
    </row>
    <row r="51" spans="2:41" s="302" customFormat="1" ht="12" customHeight="1" x14ac:dyDescent="0.25">
      <c r="B51" s="424" t="s">
        <v>598</v>
      </c>
      <c r="D51" s="662" t="s">
        <v>592</v>
      </c>
      <c r="F51" s="664">
        <v>0</v>
      </c>
      <c r="G51" s="409"/>
      <c r="H51" s="410"/>
      <c r="I51" s="409"/>
      <c r="J51" s="410"/>
      <c r="K51" s="409"/>
      <c r="L51" s="410"/>
      <c r="M51" s="409"/>
      <c r="N51" s="410"/>
      <c r="Q51" s="427"/>
      <c r="R51" s="427"/>
      <c r="S51" s="427"/>
      <c r="T51" s="427"/>
      <c r="U51" s="427"/>
      <c r="V51" s="427"/>
      <c r="W51" s="427"/>
      <c r="X51" s="427"/>
      <c r="Y51" s="427"/>
      <c r="Z51" s="427"/>
      <c r="AA51" s="427"/>
      <c r="AD51" s="403" t="s">
        <v>156</v>
      </c>
      <c r="AE51" s="403" t="s">
        <v>157</v>
      </c>
      <c r="AF51" s="403" t="s">
        <v>158</v>
      </c>
      <c r="AG51" s="403" t="s">
        <v>159</v>
      </c>
      <c r="AH51" s="403" t="s">
        <v>160</v>
      </c>
      <c r="AI51" s="403" t="s">
        <v>161</v>
      </c>
      <c r="AJ51" s="403" t="s">
        <v>162</v>
      </c>
      <c r="AK51" s="403" t="s">
        <v>163</v>
      </c>
      <c r="AL51" s="403" t="s">
        <v>164</v>
      </c>
      <c r="AM51" s="403" t="s">
        <v>165</v>
      </c>
      <c r="AN51" s="403" t="s">
        <v>166</v>
      </c>
      <c r="AO51" s="403" t="s">
        <v>167</v>
      </c>
    </row>
    <row r="52" spans="2:41" s="302" customFormat="1" ht="12" customHeight="1" x14ac:dyDescent="0.25">
      <c r="B52" s="424" t="s">
        <v>599</v>
      </c>
      <c r="D52" s="663" t="s">
        <v>280</v>
      </c>
      <c r="F52" s="663">
        <f>((SUMPRODUCT((ISNUMBER(SEARCH(RIGHT(D52,4),'Exp Details'!$D$8:$D$433)))*'Exp Details'!$H$8:$H$433)))+((SUMPRODUCT((ISNUMBER(SEARCH(RIGHT(D52,4),Payroll!$G$8:$G$119)))*Payroll!$H$8:$H$119)))</f>
        <v>0</v>
      </c>
      <c r="G52" s="409"/>
      <c r="H52" s="410"/>
      <c r="I52" s="409"/>
      <c r="J52" s="410"/>
      <c r="K52" s="409"/>
      <c r="L52" s="410"/>
      <c r="M52" s="409"/>
      <c r="N52" s="410"/>
      <c r="Q52" s="427"/>
      <c r="R52" s="427"/>
      <c r="S52" s="427"/>
      <c r="T52" s="427"/>
      <c r="U52" s="427"/>
      <c r="V52" s="427"/>
      <c r="W52" s="427"/>
      <c r="X52" s="427"/>
      <c r="Y52" s="427"/>
      <c r="Z52" s="427"/>
      <c r="AA52" s="427"/>
      <c r="AD52" s="534">
        <v>44</v>
      </c>
      <c r="AE52" s="534">
        <v>44</v>
      </c>
      <c r="AF52" s="534">
        <v>44</v>
      </c>
      <c r="AG52" s="534">
        <v>44</v>
      </c>
      <c r="AH52" s="534">
        <v>44</v>
      </c>
      <c r="AI52" s="534">
        <v>44</v>
      </c>
      <c r="AJ52" s="534">
        <v>44</v>
      </c>
      <c r="AK52" s="534">
        <v>44</v>
      </c>
      <c r="AL52" s="534">
        <v>44</v>
      </c>
      <c r="AM52" s="534">
        <v>44</v>
      </c>
      <c r="AN52" s="534">
        <v>44</v>
      </c>
      <c r="AO52" s="534">
        <v>44</v>
      </c>
    </row>
    <row r="53" spans="2:41" s="302" customFormat="1" ht="12" customHeight="1" x14ac:dyDescent="0.25">
      <c r="D53" s="406"/>
      <c r="F53" s="406"/>
      <c r="G53" s="409"/>
      <c r="H53" s="406"/>
      <c r="I53" s="409"/>
      <c r="J53" s="406"/>
      <c r="K53" s="409"/>
      <c r="L53" s="406"/>
      <c r="M53" s="409"/>
      <c r="N53" s="406"/>
      <c r="Q53" s="427"/>
      <c r="R53" s="427"/>
      <c r="S53" s="427"/>
      <c r="T53" s="427"/>
      <c r="U53" s="427"/>
      <c r="V53" s="427"/>
      <c r="W53" s="427"/>
      <c r="X53" s="427"/>
      <c r="Y53" s="427"/>
      <c r="Z53" s="427"/>
      <c r="AA53" s="427"/>
      <c r="AD53" s="534">
        <v>40</v>
      </c>
      <c r="AE53" s="534">
        <v>40</v>
      </c>
      <c r="AF53" s="534">
        <v>40</v>
      </c>
      <c r="AG53" s="534">
        <v>40</v>
      </c>
      <c r="AH53" s="534">
        <v>40</v>
      </c>
      <c r="AI53" s="534">
        <v>40</v>
      </c>
      <c r="AJ53" s="534">
        <v>40</v>
      </c>
      <c r="AK53" s="534">
        <v>40</v>
      </c>
      <c r="AL53" s="534">
        <v>40</v>
      </c>
      <c r="AM53" s="534">
        <v>40</v>
      </c>
      <c r="AN53" s="534">
        <v>40</v>
      </c>
      <c r="AO53" s="534">
        <v>40</v>
      </c>
    </row>
    <row r="54" spans="2:41" s="302" customFormat="1" ht="12" customHeight="1" x14ac:dyDescent="0.25">
      <c r="B54" s="423" t="s">
        <v>75</v>
      </c>
      <c r="D54" s="406"/>
      <c r="F54" s="406"/>
      <c r="G54" s="409"/>
      <c r="H54" s="406"/>
      <c r="I54" s="409"/>
      <c r="J54" s="406"/>
      <c r="K54" s="409"/>
      <c r="L54" s="406"/>
      <c r="M54" s="409"/>
      <c r="N54" s="406"/>
      <c r="Q54" s="427"/>
      <c r="R54" s="427"/>
      <c r="S54" s="427"/>
      <c r="T54" s="427"/>
      <c r="U54" s="427"/>
      <c r="V54" s="427"/>
      <c r="W54" s="427"/>
      <c r="X54" s="427"/>
      <c r="Y54" s="427"/>
      <c r="Z54" s="427"/>
      <c r="AA54" s="427"/>
      <c r="AD54" s="415">
        <f t="shared" ref="AD54:AI54" si="82">SUM(AD52:AD53)</f>
        <v>84</v>
      </c>
      <c r="AE54" s="415">
        <f t="shared" si="82"/>
        <v>84</v>
      </c>
      <c r="AF54" s="415">
        <f t="shared" si="82"/>
        <v>84</v>
      </c>
      <c r="AG54" s="415">
        <f t="shared" si="82"/>
        <v>84</v>
      </c>
      <c r="AH54" s="415">
        <f t="shared" si="82"/>
        <v>84</v>
      </c>
      <c r="AI54" s="415">
        <f t="shared" si="82"/>
        <v>84</v>
      </c>
      <c r="AJ54" s="415">
        <f t="shared" ref="AJ54" si="83">SUM(AJ52:AJ53)</f>
        <v>84</v>
      </c>
      <c r="AK54" s="415">
        <f t="shared" ref="AK54" si="84">SUM(AK52:AK53)</f>
        <v>84</v>
      </c>
      <c r="AL54" s="415">
        <f t="shared" ref="AL54" si="85">SUM(AL52:AL53)</f>
        <v>84</v>
      </c>
      <c r="AM54" s="415">
        <f t="shared" ref="AM54" si="86">SUM(AM52:AM53)</f>
        <v>84</v>
      </c>
      <c r="AN54" s="415">
        <f t="shared" ref="AN54" si="87">SUM(AN52:AN53)</f>
        <v>84</v>
      </c>
      <c r="AO54" s="415">
        <f t="shared" ref="AO54" si="88">SUM(AO52:AO53)</f>
        <v>84</v>
      </c>
    </row>
    <row r="55" spans="2:41" s="302" customFormat="1" ht="12" customHeight="1" x14ac:dyDescent="0.25">
      <c r="B55" s="424" t="s">
        <v>600</v>
      </c>
      <c r="D55" s="663" t="s">
        <v>283</v>
      </c>
      <c r="F55" s="663">
        <f>((SUMPRODUCT((ISNUMBER(SEARCH(RIGHT(D55,4),'Exp Details'!$D$8:$D$433)))*'Exp Details'!$H$8:$H$433)))+((SUMPRODUCT((ISNUMBER(SEARCH(RIGHT(D55,4),Payroll!$G$8:$G$119)))*Payroll!$H$8:$H$119)))</f>
        <v>0</v>
      </c>
      <c r="G55" s="409"/>
      <c r="H55" s="410"/>
      <c r="I55" s="409"/>
      <c r="J55" s="410"/>
      <c r="K55" s="409"/>
      <c r="L55" s="410"/>
      <c r="M55" s="409"/>
      <c r="N55" s="410"/>
      <c r="Q55" s="427"/>
      <c r="R55" s="427"/>
      <c r="S55" s="427"/>
      <c r="T55" s="427"/>
      <c r="U55" s="427"/>
      <c r="V55" s="427"/>
      <c r="W55" s="427"/>
      <c r="X55" s="427"/>
      <c r="Y55" s="427"/>
      <c r="Z55" s="427"/>
      <c r="AA55" s="427"/>
    </row>
    <row r="56" spans="2:41" s="302" customFormat="1" ht="12" customHeight="1" x14ac:dyDescent="0.25">
      <c r="B56" s="424" t="s">
        <v>601</v>
      </c>
      <c r="D56" s="663" t="s">
        <v>611</v>
      </c>
      <c r="F56" s="663">
        <f>((SUMPRODUCT((ISNUMBER(SEARCH(RIGHT(D56,4),'Exp Details'!$D$8:$D$433)))*'Exp Details'!$H$8:$H$433)))+((SUMPRODUCT((ISNUMBER(SEARCH(RIGHT(D56,4),Payroll!$G$8:$G$119)))*Payroll!$H$8:$H$119)))</f>
        <v>0</v>
      </c>
      <c r="G56" s="409"/>
      <c r="H56" s="410"/>
      <c r="I56" s="409"/>
      <c r="J56" s="410"/>
      <c r="K56" s="409"/>
      <c r="L56" s="410"/>
      <c r="M56" s="409"/>
      <c r="N56" s="410"/>
      <c r="Q56" s="427"/>
      <c r="R56" s="427"/>
      <c r="S56" s="427"/>
      <c r="T56" s="427"/>
      <c r="U56" s="427"/>
      <c r="V56" s="427"/>
      <c r="W56" s="427"/>
      <c r="X56" s="427"/>
      <c r="Y56" s="427"/>
      <c r="Z56" s="427"/>
      <c r="AA56" s="427"/>
    </row>
    <row r="57" spans="2:41" s="302" customFormat="1" ht="12" customHeight="1" x14ac:dyDescent="0.25">
      <c r="B57" s="424" t="s">
        <v>602</v>
      </c>
      <c r="D57" s="663" t="s">
        <v>609</v>
      </c>
      <c r="F57" s="663">
        <f>((SUMPRODUCT((ISNUMBER(SEARCH(RIGHT(D57,4),'Exp Details'!$D$8:$D$433)))*'Exp Details'!$H$8:$H$433)))+((SUMPRODUCT((ISNUMBER(SEARCH(RIGHT(D57,4),Payroll!$G$8:$G$119)))*Payroll!$H$8:$H$119)))</f>
        <v>20555</v>
      </c>
      <c r="G57" s="409"/>
      <c r="H57" s="410"/>
      <c r="I57" s="409"/>
      <c r="J57" s="410"/>
      <c r="K57" s="409"/>
      <c r="L57" s="410"/>
      <c r="M57" s="409"/>
      <c r="N57" s="410"/>
      <c r="Q57" s="427"/>
      <c r="R57" s="427"/>
      <c r="S57" s="427"/>
      <c r="T57" s="427"/>
      <c r="U57" s="427"/>
      <c r="V57" s="427"/>
      <c r="W57" s="427"/>
      <c r="X57" s="427"/>
      <c r="Y57" s="427"/>
      <c r="Z57" s="427"/>
      <c r="AA57" s="427"/>
    </row>
    <row r="58" spans="2:41" s="302" customFormat="1" ht="12" customHeight="1" x14ac:dyDescent="0.25">
      <c r="B58" s="424" t="s">
        <v>603</v>
      </c>
      <c r="D58" s="663" t="s">
        <v>594</v>
      </c>
      <c r="F58" s="663">
        <f>((SUMPRODUCT((ISNUMBER(SEARCH(RIGHT(D58,4),'Exp Details'!$D$8:$D$433)))*'Exp Details'!$H$8:$H$433)))+((SUMPRODUCT((ISNUMBER(SEARCH(RIGHT(D58,4),Payroll!$G$8:$G$119)))*Payroll!$H$8:$H$119)))</f>
        <v>0</v>
      </c>
      <c r="G58" s="409"/>
      <c r="H58" s="410"/>
      <c r="I58" s="409"/>
      <c r="J58" s="410"/>
      <c r="K58" s="409"/>
      <c r="L58" s="410"/>
      <c r="M58" s="409"/>
      <c r="N58" s="410"/>
      <c r="Q58" s="427"/>
      <c r="R58" s="427"/>
      <c r="S58" s="427"/>
      <c r="T58" s="427"/>
      <c r="U58" s="427"/>
      <c r="V58" s="427"/>
      <c r="W58" s="427"/>
      <c r="X58" s="427"/>
      <c r="Y58" s="427"/>
      <c r="Z58" s="427"/>
      <c r="AA58" s="427"/>
      <c r="AB58" s="427"/>
    </row>
    <row r="59" spans="2:41" s="302" customFormat="1" ht="12" customHeight="1" x14ac:dyDescent="0.25">
      <c r="B59" s="424" t="s">
        <v>604</v>
      </c>
      <c r="D59" s="663" t="s">
        <v>595</v>
      </c>
      <c r="F59" s="663">
        <f>((SUMPRODUCT((ISNUMBER(SEARCH(RIGHT(D59,4),'Exp Details'!$D$8:$D$433)))*'Exp Details'!$H$8:$H$433)))+((SUMPRODUCT((ISNUMBER(SEARCH(RIGHT(D59,4),Payroll!$G$8:$G$119)))*Payroll!$H$8:$H$119)))</f>
        <v>5000</v>
      </c>
      <c r="G59" s="409"/>
      <c r="H59" s="410"/>
      <c r="I59" s="409"/>
      <c r="J59" s="410"/>
      <c r="K59" s="409"/>
      <c r="L59" s="410"/>
      <c r="M59" s="409"/>
      <c r="N59" s="410"/>
      <c r="Q59" s="427"/>
      <c r="R59" s="427"/>
      <c r="S59" s="427"/>
      <c r="T59" s="427"/>
      <c r="U59" s="427"/>
      <c r="V59" s="427"/>
      <c r="W59" s="427"/>
      <c r="X59" s="427"/>
      <c r="Y59" s="427"/>
      <c r="Z59" s="427"/>
      <c r="AA59" s="427"/>
      <c r="AB59" s="427"/>
    </row>
    <row r="60" spans="2:41" s="302" customFormat="1" ht="12" customHeight="1" x14ac:dyDescent="0.25">
      <c r="B60" s="424" t="s">
        <v>346</v>
      </c>
      <c r="D60" s="662" t="s">
        <v>608</v>
      </c>
      <c r="F60" s="663">
        <f>SUM('Exp Details'!H223:H229)*0.35</f>
        <v>11737.739999999998</v>
      </c>
      <c r="G60" s="409"/>
      <c r="H60" s="410"/>
      <c r="I60" s="409"/>
      <c r="J60" s="410"/>
      <c r="K60" s="409"/>
      <c r="L60" s="410"/>
      <c r="M60" s="409"/>
      <c r="N60" s="410"/>
      <c r="Q60" s="427"/>
      <c r="R60" s="427"/>
      <c r="S60" s="427"/>
      <c r="T60" s="427"/>
      <c r="U60" s="427"/>
      <c r="V60" s="427"/>
      <c r="W60" s="427"/>
      <c r="X60" s="427"/>
      <c r="Y60" s="427"/>
      <c r="Z60" s="427"/>
      <c r="AA60" s="427"/>
      <c r="AB60" s="427"/>
    </row>
    <row r="61" spans="2:41" s="302" customFormat="1" ht="12" customHeight="1" x14ac:dyDescent="0.25">
      <c r="D61" s="406"/>
      <c r="F61" s="406"/>
      <c r="G61" s="409"/>
      <c r="H61" s="406"/>
      <c r="I61" s="409"/>
      <c r="J61" s="406"/>
      <c r="K61" s="409"/>
      <c r="L61" s="406"/>
      <c r="M61" s="409"/>
      <c r="N61" s="406"/>
      <c r="Q61" s="427"/>
      <c r="R61" s="427"/>
      <c r="S61" s="427"/>
      <c r="T61" s="427"/>
      <c r="U61" s="427"/>
      <c r="V61" s="427"/>
      <c r="W61" s="427"/>
      <c r="X61" s="427"/>
      <c r="Y61" s="427"/>
      <c r="Z61" s="427"/>
      <c r="AA61" s="427"/>
      <c r="AB61" s="427"/>
    </row>
    <row r="62" spans="2:41" s="302" customFormat="1" ht="12" customHeight="1" x14ac:dyDescent="0.25">
      <c r="B62" s="423" t="s">
        <v>76</v>
      </c>
      <c r="D62" s="406"/>
      <c r="F62" s="406"/>
      <c r="G62" s="409"/>
      <c r="H62" s="406"/>
      <c r="I62" s="409"/>
      <c r="J62" s="406"/>
      <c r="K62" s="409"/>
      <c r="L62" s="406"/>
      <c r="M62" s="409"/>
      <c r="N62" s="406"/>
      <c r="Q62" s="427"/>
      <c r="R62" s="427"/>
      <c r="S62" s="427"/>
      <c r="T62" s="427"/>
      <c r="U62" s="427"/>
      <c r="V62" s="427"/>
      <c r="W62" s="427"/>
      <c r="X62" s="427"/>
      <c r="Y62" s="427"/>
      <c r="Z62" s="427"/>
      <c r="AA62" s="427"/>
      <c r="AB62" s="427"/>
    </row>
    <row r="63" spans="2:41" s="302" customFormat="1" ht="12" customHeight="1" x14ac:dyDescent="0.25">
      <c r="B63" s="424" t="s">
        <v>605</v>
      </c>
      <c r="D63" s="410"/>
      <c r="F63" s="663">
        <f>(AVERAGE(Q42:AB42)*F37)</f>
        <v>211680</v>
      </c>
      <c r="G63" s="409"/>
      <c r="H63" s="410"/>
      <c r="I63" s="409"/>
      <c r="J63" s="410"/>
      <c r="K63" s="409"/>
      <c r="L63" s="410"/>
      <c r="M63" s="409"/>
      <c r="N63" s="410"/>
      <c r="Q63" s="427"/>
      <c r="R63" s="427"/>
      <c r="S63" s="427"/>
      <c r="T63" s="427"/>
      <c r="U63" s="427"/>
      <c r="V63" s="427"/>
      <c r="W63" s="427"/>
      <c r="X63" s="427"/>
      <c r="Y63" s="427"/>
      <c r="Z63" s="427"/>
      <c r="AA63" s="427"/>
      <c r="AB63" s="427"/>
    </row>
    <row r="64" spans="2:41" s="302" customFormat="1" ht="12" customHeight="1" x14ac:dyDescent="0.25">
      <c r="B64" s="424" t="s">
        <v>606</v>
      </c>
      <c r="D64" s="410"/>
      <c r="F64" s="663">
        <f>(AVERAGE(Q36:AB36)*F37)</f>
        <v>146880</v>
      </c>
      <c r="G64" s="409"/>
      <c r="H64" s="410"/>
      <c r="I64" s="409"/>
      <c r="J64" s="410"/>
      <c r="K64" s="409"/>
      <c r="L64" s="410"/>
      <c r="M64" s="409"/>
      <c r="N64" s="410"/>
      <c r="Q64" s="427"/>
      <c r="R64" s="427"/>
      <c r="S64" s="427"/>
      <c r="T64" s="427"/>
      <c r="U64" s="427"/>
      <c r="V64" s="427"/>
      <c r="W64" s="427"/>
      <c r="X64" s="427"/>
      <c r="Y64" s="427"/>
      <c r="Z64" s="427"/>
      <c r="AA64" s="427"/>
      <c r="AB64" s="427"/>
    </row>
    <row r="65" spans="1:28" s="302" customFormat="1" ht="12" customHeight="1" x14ac:dyDescent="0.25">
      <c r="B65" s="424" t="s">
        <v>347</v>
      </c>
      <c r="D65" s="410"/>
      <c r="F65" s="410"/>
      <c r="G65" s="409"/>
      <c r="H65" s="410"/>
      <c r="I65" s="409"/>
      <c r="J65" s="410"/>
      <c r="K65" s="409"/>
      <c r="L65" s="410"/>
      <c r="M65" s="409"/>
      <c r="N65" s="410"/>
      <c r="Q65" s="427"/>
      <c r="R65" s="427"/>
      <c r="S65" s="427"/>
      <c r="T65" s="427"/>
      <c r="U65" s="427"/>
      <c r="V65" s="427"/>
      <c r="W65" s="427"/>
      <c r="X65" s="427"/>
      <c r="Y65" s="427"/>
      <c r="Z65" s="427"/>
      <c r="AA65" s="427"/>
      <c r="AB65" s="427"/>
    </row>
    <row r="66" spans="1:28" s="302" customFormat="1" ht="12" customHeight="1" x14ac:dyDescent="0.25">
      <c r="G66" s="306"/>
      <c r="I66" s="306"/>
      <c r="K66" s="306"/>
      <c r="M66" s="306"/>
      <c r="Q66" s="427"/>
      <c r="R66" s="427"/>
      <c r="S66" s="427"/>
      <c r="T66" s="427"/>
      <c r="U66" s="427"/>
      <c r="V66" s="427"/>
      <c r="W66" s="427"/>
      <c r="X66" s="427"/>
      <c r="Y66" s="427"/>
      <c r="Z66" s="427"/>
      <c r="AA66" s="427"/>
      <c r="AB66" s="427"/>
    </row>
    <row r="67" spans="1:28" s="302" customFormat="1" ht="12" x14ac:dyDescent="0.2">
      <c r="B67" s="423" t="s">
        <v>821</v>
      </c>
      <c r="D67" s="406" t="s">
        <v>820</v>
      </c>
      <c r="F67" s="406"/>
      <c r="G67" s="409"/>
      <c r="H67" s="406"/>
      <c r="I67" s="409"/>
      <c r="J67" s="406"/>
      <c r="K67" s="409"/>
      <c r="L67" s="406"/>
      <c r="M67" s="409"/>
      <c r="N67" s="406"/>
    </row>
    <row r="68" spans="1:28" s="302" customFormat="1" ht="12" x14ac:dyDescent="0.2">
      <c r="B68" s="424" t="s">
        <v>824</v>
      </c>
      <c r="D68" s="410">
        <v>150000</v>
      </c>
      <c r="F68" s="410">
        <v>105000</v>
      </c>
      <c r="G68" s="409"/>
      <c r="H68" s="410">
        <f>F68-F76</f>
        <v>60000</v>
      </c>
      <c r="I68" s="409"/>
      <c r="J68" s="410">
        <f>H68-H76</f>
        <v>0</v>
      </c>
      <c r="K68" s="409"/>
      <c r="L68" s="410">
        <f>J68-J76</f>
        <v>0</v>
      </c>
      <c r="M68" s="409"/>
      <c r="N68" s="410">
        <f>L68-L76</f>
        <v>0</v>
      </c>
    </row>
    <row r="69" spans="1:28" s="302" customFormat="1" ht="12" x14ac:dyDescent="0.2">
      <c r="B69" s="424" t="s">
        <v>823</v>
      </c>
      <c r="D69" s="410">
        <v>150000</v>
      </c>
      <c r="F69" s="410">
        <v>70000</v>
      </c>
      <c r="G69" s="409"/>
      <c r="H69" s="410">
        <f t="shared" ref="H69:N72" si="89">F69-F77</f>
        <v>0</v>
      </c>
      <c r="I69" s="409"/>
      <c r="J69" s="410">
        <f t="shared" si="89"/>
        <v>0</v>
      </c>
      <c r="K69" s="409"/>
      <c r="L69" s="410">
        <f t="shared" si="89"/>
        <v>0</v>
      </c>
      <c r="M69" s="409"/>
      <c r="N69" s="410">
        <f t="shared" si="89"/>
        <v>0</v>
      </c>
    </row>
    <row r="70" spans="1:28" s="302" customFormat="1" ht="12" x14ac:dyDescent="0.2">
      <c r="B70" s="424" t="s">
        <v>818</v>
      </c>
      <c r="D70" s="410">
        <v>120000</v>
      </c>
      <c r="F70" s="410">
        <v>120000</v>
      </c>
      <c r="G70" s="409"/>
      <c r="H70" s="410">
        <f t="shared" si="89"/>
        <v>108000</v>
      </c>
      <c r="I70" s="409"/>
      <c r="J70" s="410">
        <f t="shared" si="89"/>
        <v>84000</v>
      </c>
      <c r="K70" s="409"/>
      <c r="L70" s="410">
        <f t="shared" si="89"/>
        <v>48000</v>
      </c>
      <c r="M70" s="409"/>
      <c r="N70" s="410">
        <f t="shared" si="89"/>
        <v>0</v>
      </c>
    </row>
    <row r="71" spans="1:28" s="302" customFormat="1" ht="12" x14ac:dyDescent="0.2">
      <c r="B71" s="424" t="s">
        <v>817</v>
      </c>
      <c r="D71" s="410">
        <v>120000</v>
      </c>
      <c r="F71" s="410">
        <v>120000</v>
      </c>
      <c r="G71" s="409"/>
      <c r="H71" s="410">
        <f t="shared" si="89"/>
        <v>108000</v>
      </c>
      <c r="I71" s="409"/>
      <c r="J71" s="410">
        <f t="shared" si="89"/>
        <v>84000</v>
      </c>
      <c r="K71" s="409"/>
      <c r="L71" s="410">
        <f t="shared" si="89"/>
        <v>48000</v>
      </c>
      <c r="M71" s="409"/>
      <c r="N71" s="410">
        <f t="shared" si="89"/>
        <v>0</v>
      </c>
    </row>
    <row r="72" spans="1:28" s="302" customFormat="1" ht="12" x14ac:dyDescent="0.2">
      <c r="B72" s="424" t="s">
        <v>819</v>
      </c>
      <c r="D72" s="410">
        <v>120000</v>
      </c>
      <c r="F72" s="410">
        <v>120000</v>
      </c>
      <c r="G72" s="409"/>
      <c r="H72" s="410">
        <f t="shared" si="89"/>
        <v>120000</v>
      </c>
      <c r="I72" s="409"/>
      <c r="J72" s="410">
        <f t="shared" si="89"/>
        <v>108000</v>
      </c>
      <c r="K72" s="409"/>
      <c r="L72" s="410">
        <f t="shared" si="89"/>
        <v>84000</v>
      </c>
      <c r="M72" s="409"/>
      <c r="N72" s="410">
        <f t="shared" si="89"/>
        <v>48000</v>
      </c>
    </row>
    <row r="73" spans="1:28" s="302" customFormat="1" ht="11.25" customHeight="1" x14ac:dyDescent="0.2">
      <c r="F73" s="406">
        <f>SUM(F68:F72)</f>
        <v>535000</v>
      </c>
      <c r="G73" s="306"/>
      <c r="H73" s="406">
        <f>SUM(H68:H72)</f>
        <v>396000</v>
      </c>
      <c r="I73" s="306"/>
      <c r="J73" s="406">
        <f>SUM(J68:J72)</f>
        <v>276000</v>
      </c>
      <c r="K73" s="306"/>
      <c r="L73" s="406">
        <f>SUM(L68:L72)</f>
        <v>180000</v>
      </c>
      <c r="M73" s="306"/>
      <c r="N73" s="406">
        <f>SUM(N68:N72)</f>
        <v>48000</v>
      </c>
    </row>
    <row r="74" spans="1:28" s="302" customFormat="1" ht="11.25" customHeight="1" x14ac:dyDescent="0.2">
      <c r="G74" s="306"/>
      <c r="I74" s="306"/>
      <c r="K74" s="306"/>
      <c r="M74" s="306"/>
    </row>
    <row r="75" spans="1:28" ht="12" customHeight="1" x14ac:dyDescent="0.25">
      <c r="A75" s="302"/>
      <c r="B75" s="423" t="s">
        <v>822</v>
      </c>
      <c r="C75" s="302"/>
      <c r="D75" s="406"/>
      <c r="E75" s="302"/>
      <c r="F75" s="406"/>
      <c r="G75" s="409"/>
      <c r="H75" s="406"/>
      <c r="I75" s="409"/>
      <c r="J75" s="406"/>
      <c r="K75" s="409"/>
      <c r="L75" s="406"/>
      <c r="M75" s="409"/>
      <c r="N75" s="406"/>
    </row>
    <row r="76" spans="1:28" s="302" customFormat="1" ht="12" x14ac:dyDescent="0.2">
      <c r="B76" s="424" t="s">
        <v>815</v>
      </c>
      <c r="D76" s="410">
        <v>150000</v>
      </c>
      <c r="F76" s="410">
        <v>45000</v>
      </c>
      <c r="G76" s="409"/>
      <c r="H76" s="410">
        <v>60000</v>
      </c>
      <c r="I76" s="409"/>
      <c r="J76" s="410"/>
      <c r="K76" s="409"/>
      <c r="L76" s="410"/>
      <c r="M76" s="409"/>
      <c r="N76" s="410"/>
    </row>
    <row r="77" spans="1:28" s="302" customFormat="1" ht="12" x14ac:dyDescent="0.2">
      <c r="B77" s="424" t="s">
        <v>816</v>
      </c>
      <c r="D77" s="410">
        <v>150000</v>
      </c>
      <c r="F77" s="410">
        <v>70000</v>
      </c>
      <c r="G77" s="409"/>
      <c r="H77" s="410">
        <v>0</v>
      </c>
      <c r="I77" s="409"/>
      <c r="J77" s="410"/>
      <c r="K77" s="409"/>
      <c r="L77" s="410"/>
      <c r="M77" s="409"/>
      <c r="N77" s="410"/>
    </row>
    <row r="78" spans="1:28" s="302" customFormat="1" ht="12" x14ac:dyDescent="0.2">
      <c r="B78" s="424" t="s">
        <v>818</v>
      </c>
      <c r="D78" s="410">
        <v>120000</v>
      </c>
      <c r="F78" s="410">
        <v>12000</v>
      </c>
      <c r="G78" s="409"/>
      <c r="H78" s="410">
        <v>24000</v>
      </c>
      <c r="I78" s="409"/>
      <c r="J78" s="410">
        <v>36000</v>
      </c>
      <c r="K78" s="409"/>
      <c r="L78" s="410">
        <v>48000</v>
      </c>
      <c r="M78" s="409"/>
      <c r="N78" s="410"/>
    </row>
    <row r="79" spans="1:28" s="302" customFormat="1" ht="12" x14ac:dyDescent="0.2">
      <c r="B79" s="424" t="s">
        <v>817</v>
      </c>
      <c r="D79" s="410">
        <v>120000</v>
      </c>
      <c r="F79" s="410">
        <v>12000</v>
      </c>
      <c r="G79" s="409"/>
      <c r="H79" s="410">
        <v>24000</v>
      </c>
      <c r="I79" s="409"/>
      <c r="J79" s="410">
        <v>36000</v>
      </c>
      <c r="K79" s="409"/>
      <c r="L79" s="410">
        <v>48000</v>
      </c>
      <c r="M79" s="409"/>
      <c r="N79" s="410"/>
    </row>
    <row r="80" spans="1:28" s="302" customFormat="1" ht="12" x14ac:dyDescent="0.2">
      <c r="B80" s="424" t="s">
        <v>819</v>
      </c>
      <c r="D80" s="410">
        <v>120000</v>
      </c>
      <c r="F80" s="410">
        <v>0</v>
      </c>
      <c r="G80" s="409"/>
      <c r="H80" s="410">
        <v>12000</v>
      </c>
      <c r="I80" s="409"/>
      <c r="J80" s="410">
        <v>24000</v>
      </c>
      <c r="K80" s="409"/>
      <c r="L80" s="410">
        <v>36000</v>
      </c>
      <c r="M80" s="409"/>
      <c r="N80" s="410">
        <v>48000</v>
      </c>
    </row>
    <row r="81" spans="2:41" ht="12" customHeight="1" x14ac:dyDescent="0.25">
      <c r="F81" s="406">
        <f>SUM(F76:F80)</f>
        <v>139000</v>
      </c>
      <c r="G81" s="306"/>
      <c r="H81" s="406">
        <f>SUM(H76:H80)</f>
        <v>120000</v>
      </c>
      <c r="I81" s="306"/>
      <c r="J81" s="406">
        <f>SUM(J76:J80)</f>
        <v>96000</v>
      </c>
      <c r="K81" s="306"/>
      <c r="L81" s="406">
        <f>SUM(L76:L80)</f>
        <v>132000</v>
      </c>
      <c r="M81" s="306"/>
      <c r="N81" s="406">
        <f>SUM(N76:N80)</f>
        <v>48000</v>
      </c>
    </row>
    <row r="82" spans="2:41" s="302" customFormat="1" ht="12" customHeight="1" x14ac:dyDescent="0.25">
      <c r="B82" s="423" t="s">
        <v>825</v>
      </c>
      <c r="D82" s="406"/>
      <c r="F82" s="406"/>
      <c r="G82" s="409"/>
      <c r="H82" s="406"/>
      <c r="I82" s="409"/>
      <c r="J82" s="406"/>
      <c r="K82" s="409"/>
      <c r="L82" s="406"/>
      <c r="M82" s="409"/>
      <c r="N82" s="406"/>
      <c r="Q82" s="427"/>
      <c r="R82" s="427"/>
      <c r="S82" s="427"/>
      <c r="T82" s="427"/>
      <c r="U82" s="427"/>
      <c r="V82" s="427"/>
      <c r="W82" s="427"/>
      <c r="X82" s="427"/>
      <c r="Y82" s="427"/>
      <c r="Z82" s="427"/>
      <c r="AA82" s="427"/>
      <c r="AB82" s="427"/>
    </row>
    <row r="83" spans="2:41" s="302" customFormat="1" ht="12" customHeight="1" x14ac:dyDescent="0.25">
      <c r="B83" s="424" t="s">
        <v>826</v>
      </c>
      <c r="D83" s="410"/>
      <c r="F83" s="410">
        <f>F81-F72-F71-F70</f>
        <v>-221000</v>
      </c>
      <c r="G83" s="409"/>
      <c r="H83" s="410">
        <f>H81</f>
        <v>120000</v>
      </c>
      <c r="I83" s="409"/>
      <c r="J83" s="410">
        <f>J81</f>
        <v>96000</v>
      </c>
      <c r="K83" s="409"/>
      <c r="L83" s="410">
        <f>L81</f>
        <v>132000</v>
      </c>
      <c r="M83" s="409"/>
      <c r="N83" s="410">
        <f>N81</f>
        <v>48000</v>
      </c>
      <c r="Q83" s="427"/>
      <c r="R83" s="427"/>
      <c r="S83" s="427"/>
      <c r="T83" s="427"/>
      <c r="U83" s="427"/>
      <c r="V83" s="427"/>
      <c r="W83" s="427"/>
      <c r="X83" s="427"/>
      <c r="Y83" s="427"/>
      <c r="Z83" s="427"/>
      <c r="AA83" s="427"/>
      <c r="AB83" s="427"/>
      <c r="AD83" s="427"/>
      <c r="AE83" s="427"/>
      <c r="AF83" s="427"/>
      <c r="AG83" s="427"/>
      <c r="AH83" s="427"/>
      <c r="AI83" s="427"/>
      <c r="AJ83" s="427"/>
      <c r="AK83" s="427"/>
      <c r="AL83" s="427"/>
      <c r="AM83" s="427"/>
      <c r="AN83" s="427"/>
      <c r="AO83" s="427"/>
    </row>
    <row r="84" spans="2:41" s="302" customFormat="1" ht="12" customHeight="1" x14ac:dyDescent="0.25">
      <c r="G84" s="306"/>
      <c r="I84" s="306"/>
      <c r="K84" s="306"/>
      <c r="M84" s="306"/>
      <c r="Q84" s="427"/>
      <c r="R84" s="427"/>
      <c r="S84" s="427"/>
      <c r="T84" s="427"/>
      <c r="U84" s="427"/>
      <c r="V84" s="427"/>
      <c r="W84" s="427"/>
      <c r="X84" s="427"/>
      <c r="Y84" s="427"/>
      <c r="Z84" s="427"/>
      <c r="AA84" s="427"/>
      <c r="AB84" s="427"/>
      <c r="AD84" s="427"/>
      <c r="AE84" s="427"/>
      <c r="AF84" s="427"/>
      <c r="AG84" s="427"/>
      <c r="AH84" s="427"/>
      <c r="AI84" s="427"/>
      <c r="AJ84" s="427"/>
      <c r="AK84" s="427"/>
      <c r="AL84" s="427"/>
      <c r="AM84" s="427"/>
      <c r="AN84" s="427"/>
      <c r="AO84" s="427"/>
    </row>
    <row r="85" spans="2:41" ht="12" customHeight="1" x14ac:dyDescent="0.25"/>
    <row r="86" spans="2:41" ht="12" customHeight="1" x14ac:dyDescent="0.25"/>
    <row r="87" spans="2:41" ht="12" customHeight="1" x14ac:dyDescent="0.25"/>
    <row r="88" spans="2:41" ht="12" customHeight="1" x14ac:dyDescent="0.25"/>
    <row r="89" spans="2:41" ht="12" customHeight="1" x14ac:dyDescent="0.25"/>
    <row r="90" spans="2:41" ht="12" customHeight="1" x14ac:dyDescent="0.25"/>
    <row r="91" spans="2:41" ht="12" customHeight="1" x14ac:dyDescent="0.25"/>
    <row r="92" spans="2:41" ht="12" customHeight="1" x14ac:dyDescent="0.25"/>
    <row r="93" spans="2:41" ht="12" customHeight="1" x14ac:dyDescent="0.25"/>
    <row r="94" spans="2:41" ht="12" customHeight="1" x14ac:dyDescent="0.25"/>
    <row r="95" spans="2:41" ht="12" customHeight="1" x14ac:dyDescent="0.25"/>
    <row r="96" spans="2:41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</sheetData>
  <sheetProtection algorithmName="SHA-512" hashValue="gd7QfENnurby9QbNO+be6GFUc3XVBwHYZKqtTxM+CbbuBbFM0cwY5RmNKRA5ipkf2YhPOpllb3p68boQWO7cRQ==" saltValue="lPbV/ivLloEyEnbTjYgvvQ==" spinCount="100000" sheet="1" selectLockedCells="1" selectUnlockedCells="1"/>
  <mergeCells count="13">
    <mergeCell ref="AD38:AO38"/>
    <mergeCell ref="AD44:AO44"/>
    <mergeCell ref="AD50:AO50"/>
    <mergeCell ref="AD8:AO8"/>
    <mergeCell ref="Q26:AB26"/>
    <mergeCell ref="Q32:AB32"/>
    <mergeCell ref="Q38:AB38"/>
    <mergeCell ref="F5:N5"/>
    <mergeCell ref="B32:O32"/>
    <mergeCell ref="B8:O8"/>
    <mergeCell ref="Q8:AB8"/>
    <mergeCell ref="AD26:AO26"/>
    <mergeCell ref="AD32:AO32"/>
  </mergeCells>
  <phoneticPr fontId="13" type="noConversion"/>
  <pageMargins left="0.7" right="0.7" top="0.75" bottom="0.75" header="0.3" footer="0.3"/>
  <pageSetup scale="43" orientation="portrait" horizontalDpi="4294967294" verticalDpi="4294967294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7" tint="0.79998168889431442"/>
  </sheetPr>
  <dimension ref="A1:AO342"/>
  <sheetViews>
    <sheetView workbookViewId="0">
      <selection sqref="A1:XFD1048576"/>
    </sheetView>
  </sheetViews>
  <sheetFormatPr defaultColWidth="9.140625" defaultRowHeight="15" outlineLevelRow="1" outlineLevelCol="1" x14ac:dyDescent="0.25"/>
  <cols>
    <col min="1" max="1" width="2.140625" style="427" customWidth="1"/>
    <col min="2" max="2" width="7.42578125" style="497" customWidth="1"/>
    <col min="3" max="3" width="20.140625" style="427" customWidth="1"/>
    <col min="4" max="4" width="31.42578125" style="427" bestFit="1" customWidth="1"/>
    <col min="5" max="5" width="15.28515625" style="498" bestFit="1" customWidth="1"/>
    <col min="6" max="7" width="8.5703125" style="499" customWidth="1"/>
    <col min="8" max="8" width="8.5703125" style="499" hidden="1" customWidth="1"/>
    <col min="9" max="9" width="4.85546875" style="500" bestFit="1" customWidth="1"/>
    <col min="10" max="10" width="10.42578125" style="427" bestFit="1" customWidth="1"/>
    <col min="11" max="11" width="11.140625" style="530" bestFit="1" customWidth="1"/>
    <col min="12" max="12" width="8.85546875" style="592" customWidth="1" outlineLevel="1"/>
    <col min="13" max="22" width="7.85546875" style="592" customWidth="1" outlineLevel="1"/>
    <col min="23" max="23" width="7.7109375" style="592" bestFit="1" customWidth="1" outlineLevel="1"/>
    <col min="24" max="24" width="3.7109375" style="502" bestFit="1" customWidth="1"/>
    <col min="25" max="25" width="9.5703125" style="427" customWidth="1"/>
    <col min="26" max="26" width="3.140625" style="497" customWidth="1"/>
    <col min="27" max="27" width="9.5703125" style="427" customWidth="1"/>
    <col min="28" max="28" width="3.140625" style="497" customWidth="1"/>
    <col min="29" max="29" width="9.5703125" style="427" customWidth="1"/>
    <col min="30" max="30" width="3.140625" style="497" customWidth="1"/>
    <col min="31" max="31" width="9.5703125" style="427" customWidth="1"/>
    <col min="32" max="32" width="9.140625" style="427"/>
    <col min="33" max="34" width="11.42578125" style="531" customWidth="1"/>
    <col min="35" max="16384" width="9.140625" style="427"/>
  </cols>
  <sheetData>
    <row r="1" spans="1:34" s="385" customFormat="1" ht="21" x14ac:dyDescent="0.35">
      <c r="A1" s="384" t="str">
        <f>'Rev &amp; Enroll'!$F$5</f>
        <v>Nevada State High School (CSO)</v>
      </c>
      <c r="B1" s="397"/>
      <c r="C1" s="389"/>
      <c r="D1" s="389"/>
      <c r="E1" s="429"/>
      <c r="F1" s="430"/>
      <c r="G1" s="430"/>
      <c r="H1" s="430"/>
      <c r="I1" s="431"/>
      <c r="J1" s="389"/>
      <c r="K1" s="432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433"/>
      <c r="Y1" s="389"/>
      <c r="Z1" s="432"/>
      <c r="AA1" s="389"/>
      <c r="AB1" s="432"/>
      <c r="AC1" s="387"/>
      <c r="AD1" s="397"/>
      <c r="AE1" s="387"/>
      <c r="AG1" s="434"/>
      <c r="AH1" s="435"/>
    </row>
    <row r="2" spans="1:34" s="385" customFormat="1" x14ac:dyDescent="0.25">
      <c r="A2" s="390" t="s">
        <v>77</v>
      </c>
      <c r="B2" s="436"/>
      <c r="C2" s="387"/>
      <c r="D2" s="387"/>
      <c r="E2" s="437"/>
      <c r="F2" s="438"/>
      <c r="G2" s="438"/>
      <c r="H2" s="438"/>
      <c r="I2" s="439"/>
      <c r="J2" s="387"/>
      <c r="K2" s="397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433"/>
      <c r="Y2" s="387"/>
      <c r="Z2" s="397"/>
      <c r="AB2" s="436"/>
      <c r="AC2" s="393"/>
      <c r="AD2" s="397"/>
      <c r="AE2" s="393"/>
      <c r="AG2" s="440"/>
      <c r="AH2" s="434"/>
    </row>
    <row r="3" spans="1:34" s="395" customFormat="1" ht="13.5" customHeight="1" x14ac:dyDescent="0.2">
      <c r="A3" s="394" t="str">
        <f>'FY21'!A3</f>
        <v>Board Approved: Proposed: 4/16/2020</v>
      </c>
      <c r="B3" s="397"/>
      <c r="C3" s="397"/>
      <c r="D3" s="397"/>
      <c r="E3" s="441"/>
      <c r="F3" s="442"/>
      <c r="G3" s="442"/>
      <c r="H3" s="442"/>
      <c r="I3" s="439"/>
      <c r="J3" s="387"/>
      <c r="K3" s="397"/>
      <c r="L3" s="579"/>
      <c r="M3" s="579"/>
      <c r="N3" s="579"/>
      <c r="O3" s="579"/>
      <c r="P3" s="579"/>
      <c r="Q3" s="579"/>
      <c r="R3" s="579"/>
      <c r="S3" s="579"/>
      <c r="T3" s="579"/>
      <c r="U3" s="579"/>
      <c r="V3" s="579"/>
      <c r="W3" s="579"/>
      <c r="X3" s="433"/>
      <c r="Y3" s="397"/>
      <c r="Z3" s="397"/>
      <c r="AA3" s="399"/>
      <c r="AB3" s="443"/>
      <c r="AC3" s="397"/>
      <c r="AD3" s="397"/>
      <c r="AE3" s="397"/>
      <c r="AG3" s="444"/>
      <c r="AH3" s="444"/>
    </row>
    <row r="4" spans="1:34" s="302" customFormat="1" ht="12" x14ac:dyDescent="0.2">
      <c r="B4" s="304"/>
      <c r="E4" s="321"/>
      <c r="F4" s="381"/>
      <c r="G4" s="381"/>
      <c r="H4" s="381"/>
      <c r="I4" s="345"/>
      <c r="K4" s="445"/>
      <c r="L4" s="580"/>
      <c r="M4" s="580"/>
      <c r="N4" s="580"/>
      <c r="O4" s="580"/>
      <c r="P4" s="580"/>
      <c r="Q4" s="580"/>
      <c r="R4" s="580"/>
      <c r="S4" s="580"/>
      <c r="T4" s="580"/>
      <c r="U4" s="580"/>
      <c r="V4" s="580"/>
      <c r="W4" s="580"/>
      <c r="X4" s="376"/>
      <c r="Z4" s="304"/>
      <c r="AB4" s="304"/>
      <c r="AD4" s="304"/>
      <c r="AG4" s="446"/>
      <c r="AH4" s="446"/>
    </row>
    <row r="5" spans="1:34" s="381" customFormat="1" ht="14.25" customHeight="1" x14ac:dyDescent="0.25">
      <c r="B5" s="719" t="s">
        <v>81</v>
      </c>
      <c r="C5" s="715" t="s">
        <v>79</v>
      </c>
      <c r="D5" s="715" t="s">
        <v>80</v>
      </c>
      <c r="E5" s="720" t="s">
        <v>248</v>
      </c>
      <c r="F5" s="715" t="s">
        <v>245</v>
      </c>
      <c r="G5" s="722" t="s">
        <v>607</v>
      </c>
      <c r="H5" s="723"/>
      <c r="I5" s="716" t="s">
        <v>78</v>
      </c>
      <c r="J5" s="717"/>
      <c r="K5" s="717"/>
      <c r="L5" s="717"/>
      <c r="M5" s="717"/>
      <c r="N5" s="717"/>
      <c r="O5" s="717"/>
      <c r="P5" s="717"/>
      <c r="Q5" s="717"/>
      <c r="R5" s="717"/>
      <c r="S5" s="717"/>
      <c r="T5" s="717"/>
      <c r="U5" s="717"/>
      <c r="V5" s="717"/>
      <c r="W5" s="717"/>
      <c r="X5" s="717"/>
      <c r="Y5" s="717"/>
      <c r="Z5" s="717"/>
      <c r="AA5" s="717"/>
      <c r="AB5" s="717"/>
      <c r="AC5" s="717"/>
      <c r="AD5" s="717"/>
      <c r="AE5" s="718"/>
      <c r="AG5" s="447" t="s">
        <v>251</v>
      </c>
      <c r="AH5" s="447" t="s">
        <v>254</v>
      </c>
    </row>
    <row r="6" spans="1:34" s="448" customFormat="1" ht="14.25" customHeight="1" x14ac:dyDescent="0.2">
      <c r="B6" s="719"/>
      <c r="C6" s="715"/>
      <c r="D6" s="715"/>
      <c r="E6" s="721"/>
      <c r="F6" s="715"/>
      <c r="G6" s="724"/>
      <c r="H6" s="725"/>
      <c r="I6" s="449" t="s">
        <v>337</v>
      </c>
      <c r="J6" s="450" t="str">
        <f>CONCATENATE('Rev &amp; Enroll'!F7," ","-Full")</f>
        <v>FY21 -Full</v>
      </c>
      <c r="K6" s="451" t="str">
        <f>CONCATENATE('Rev &amp; Enroll'!F7," ","-Partial")</f>
        <v>FY21 -Partial</v>
      </c>
      <c r="L6" s="581" t="s">
        <v>156</v>
      </c>
      <c r="M6" s="581" t="s">
        <v>157</v>
      </c>
      <c r="N6" s="581" t="s">
        <v>158</v>
      </c>
      <c r="O6" s="581" t="s">
        <v>159</v>
      </c>
      <c r="P6" s="581" t="s">
        <v>160</v>
      </c>
      <c r="Q6" s="581" t="s">
        <v>161</v>
      </c>
      <c r="R6" s="581" t="s">
        <v>162</v>
      </c>
      <c r="S6" s="581" t="s">
        <v>163</v>
      </c>
      <c r="T6" s="581" t="s">
        <v>164</v>
      </c>
      <c r="U6" s="581" t="s">
        <v>165</v>
      </c>
      <c r="V6" s="581" t="s">
        <v>166</v>
      </c>
      <c r="W6" s="581" t="s">
        <v>167</v>
      </c>
      <c r="X6" s="715" t="str">
        <f>'Rev &amp; Enroll'!H7</f>
        <v>FY22</v>
      </c>
      <c r="Y6" s="715"/>
      <c r="Z6" s="715" t="str">
        <f>'Rev &amp; Enroll'!J7</f>
        <v>FY23</v>
      </c>
      <c r="AA6" s="715"/>
      <c r="AB6" s="715" t="str">
        <f>'Rev &amp; Enroll'!L7</f>
        <v>FY24</v>
      </c>
      <c r="AC6" s="715"/>
      <c r="AD6" s="715" t="str">
        <f>'Rev &amp; Enroll'!N7</f>
        <v>FY25</v>
      </c>
      <c r="AE6" s="715"/>
      <c r="AG6" s="446"/>
      <c r="AH6" s="446"/>
    </row>
    <row r="7" spans="1:34" s="452" customFormat="1" ht="12" x14ac:dyDescent="0.2">
      <c r="E7" s="453"/>
      <c r="F7" s="452" t="s">
        <v>136</v>
      </c>
      <c r="I7" s="454"/>
      <c r="J7" s="455"/>
      <c r="K7" s="456" t="s">
        <v>84</v>
      </c>
      <c r="L7" s="582"/>
      <c r="M7" s="582"/>
      <c r="N7" s="582"/>
      <c r="O7" s="582"/>
      <c r="P7" s="582"/>
      <c r="Q7" s="582"/>
      <c r="R7" s="582"/>
      <c r="S7" s="582"/>
      <c r="T7" s="582"/>
      <c r="U7" s="582"/>
      <c r="V7" s="582"/>
      <c r="W7" s="582"/>
      <c r="X7" s="457"/>
      <c r="Y7" s="458">
        <v>0.02</v>
      </c>
      <c r="Z7" s="459"/>
      <c r="AA7" s="458">
        <v>0.02</v>
      </c>
      <c r="AB7" s="459"/>
      <c r="AC7" s="458">
        <v>0.02</v>
      </c>
      <c r="AD7" s="459"/>
      <c r="AE7" s="458">
        <v>0.02</v>
      </c>
      <c r="AG7" s="446"/>
      <c r="AH7" s="446"/>
    </row>
    <row r="8" spans="1:34" s="302" customFormat="1" ht="12" outlineLevel="1" x14ac:dyDescent="0.2">
      <c r="B8" s="303" t="s">
        <v>44</v>
      </c>
      <c r="C8" s="311" t="s">
        <v>96</v>
      </c>
      <c r="E8" s="321"/>
      <c r="F8" s="381"/>
      <c r="G8" s="381"/>
      <c r="H8" s="381"/>
      <c r="I8" s="345"/>
      <c r="J8" s="460"/>
      <c r="K8" s="445"/>
      <c r="L8" s="580"/>
      <c r="M8" s="580"/>
      <c r="N8" s="580"/>
      <c r="O8" s="580"/>
      <c r="P8" s="580"/>
      <c r="Q8" s="580"/>
      <c r="R8" s="580"/>
      <c r="S8" s="580"/>
      <c r="T8" s="580"/>
      <c r="U8" s="580"/>
      <c r="V8" s="580"/>
      <c r="W8" s="580"/>
      <c r="X8" s="376"/>
      <c r="Z8" s="304"/>
      <c r="AB8" s="304"/>
      <c r="AD8" s="304"/>
      <c r="AG8" s="446"/>
      <c r="AH8" s="446"/>
    </row>
    <row r="9" spans="1:34" s="302" customFormat="1" ht="12" outlineLevel="1" x14ac:dyDescent="0.2">
      <c r="B9" s="304"/>
      <c r="C9" s="461" t="s">
        <v>79</v>
      </c>
      <c r="D9" s="461" t="s">
        <v>316</v>
      </c>
      <c r="E9" s="462" t="s">
        <v>334</v>
      </c>
      <c r="F9" s="462" t="s">
        <v>335</v>
      </c>
      <c r="G9" s="462" t="s">
        <v>81</v>
      </c>
      <c r="H9" s="462"/>
      <c r="I9" s="463" t="s">
        <v>385</v>
      </c>
      <c r="J9" s="450" t="str">
        <f>$J$6</f>
        <v>FY21 -Full</v>
      </c>
      <c r="K9" s="451" t="str">
        <f>$K$6</f>
        <v>FY21 -Partial</v>
      </c>
      <c r="L9" s="583" t="s">
        <v>156</v>
      </c>
      <c r="M9" s="583" t="s">
        <v>157</v>
      </c>
      <c r="N9" s="583" t="s">
        <v>158</v>
      </c>
      <c r="O9" s="583" t="s">
        <v>159</v>
      </c>
      <c r="P9" s="583" t="s">
        <v>160</v>
      </c>
      <c r="Q9" s="583" t="s">
        <v>161</v>
      </c>
      <c r="R9" s="583" t="s">
        <v>162</v>
      </c>
      <c r="S9" s="583" t="s">
        <v>163</v>
      </c>
      <c r="T9" s="583" t="s">
        <v>164</v>
      </c>
      <c r="U9" s="583" t="s">
        <v>165</v>
      </c>
      <c r="V9" s="583" t="s">
        <v>166</v>
      </c>
      <c r="W9" s="583" t="s">
        <v>167</v>
      </c>
      <c r="X9" s="658" t="str">
        <f t="shared" ref="X9" si="0">IF(I9="","",I9)</f>
        <v>Y/N</v>
      </c>
      <c r="Y9" s="465" t="str">
        <f>$X$6</f>
        <v>FY22</v>
      </c>
      <c r="Z9" s="466" t="str">
        <f>IF(X9="","",X9)</f>
        <v>Y/N</v>
      </c>
      <c r="AA9" s="465" t="str">
        <f>$Z$6</f>
        <v>FY23</v>
      </c>
      <c r="AB9" s="466" t="str">
        <f>IF(Z9="","",Z9)</f>
        <v>Y/N</v>
      </c>
      <c r="AC9" s="465" t="str">
        <f>$AB$6</f>
        <v>FY24</v>
      </c>
      <c r="AD9" s="466" t="str">
        <f>IF(AB9="","",AB9)</f>
        <v>Y/N</v>
      </c>
      <c r="AE9" s="465" t="str">
        <f>$AD$6</f>
        <v>FY25</v>
      </c>
      <c r="AG9" s="446"/>
      <c r="AH9" s="446"/>
    </row>
    <row r="10" spans="1:34" s="302" customFormat="1" ht="12" outlineLevel="1" x14ac:dyDescent="0.2">
      <c r="B10" s="304"/>
      <c r="C10" s="535"/>
      <c r="D10" s="535"/>
      <c r="E10" s="536"/>
      <c r="F10" s="537"/>
      <c r="G10" s="667"/>
      <c r="H10" s="668">
        <f>IF(COUNTA(G10)=1,K10,0)</f>
        <v>0</v>
      </c>
      <c r="I10" s="538"/>
      <c r="J10" s="543">
        <f>IF(E10="",0,IF(F10="ER",E10*(1-$E$127),E10*$E$126))</f>
        <v>0</v>
      </c>
      <c r="K10" s="544">
        <f>IF(J10="","",J10/12*SUM(L10:W10))</f>
        <v>0</v>
      </c>
      <c r="L10" s="584"/>
      <c r="M10" s="584"/>
      <c r="N10" s="584"/>
      <c r="O10" s="584"/>
      <c r="P10" s="584"/>
      <c r="Q10" s="584"/>
      <c r="R10" s="584"/>
      <c r="S10" s="584"/>
      <c r="T10" s="584"/>
      <c r="U10" s="584"/>
      <c r="V10" s="584"/>
      <c r="W10" s="584"/>
      <c r="X10" s="464" t="str">
        <f>IF(I10="","",I10)</f>
        <v/>
      </c>
      <c r="Y10" s="469">
        <f>IF(J10="","",J10*(1+Y$7))</f>
        <v>0</v>
      </c>
      <c r="Z10" s="470" t="str">
        <f>IF(X10="","",X10)</f>
        <v/>
      </c>
      <c r="AA10" s="469">
        <f>IF(Y10="","",Y10*(1+AA$7))</f>
        <v>0</v>
      </c>
      <c r="AB10" s="470" t="str">
        <f t="shared" ref="AB10:AD10" si="1">IF(Z10="","",Z10)</f>
        <v/>
      </c>
      <c r="AC10" s="469">
        <f>IF(AA10="","",AA10*(1+AC$7))</f>
        <v>0</v>
      </c>
      <c r="AD10" s="470" t="str">
        <f t="shared" si="1"/>
        <v/>
      </c>
      <c r="AE10" s="469">
        <f>IF(AC10="","",AC10*(1+AE$7))</f>
        <v>0</v>
      </c>
      <c r="AG10" s="446"/>
      <c r="AH10" s="446"/>
    </row>
    <row r="11" spans="1:34" s="302" customFormat="1" ht="12" outlineLevel="1" x14ac:dyDescent="0.2">
      <c r="B11" s="304"/>
      <c r="C11" s="539"/>
      <c r="D11" s="539"/>
      <c r="E11" s="540"/>
      <c r="F11" s="541"/>
      <c r="G11" s="667"/>
      <c r="H11" s="668">
        <f t="shared" ref="H11" si="2">IF(COUNTA(G11)=1,K11,0)</f>
        <v>0</v>
      </c>
      <c r="I11" s="542"/>
      <c r="J11" s="543">
        <f>IF(E11="",0,IF(F11="ER",E11*(1-$E$127),E11*$E$126))</f>
        <v>0</v>
      </c>
      <c r="K11" s="544">
        <f t="shared" ref="K11" si="3">IF(J11="","",J11/12*SUM(L11:W11))</f>
        <v>0</v>
      </c>
      <c r="L11" s="585"/>
      <c r="M11" s="585"/>
      <c r="N11" s="585"/>
      <c r="O11" s="585"/>
      <c r="P11" s="585"/>
      <c r="Q11" s="585"/>
      <c r="R11" s="585"/>
      <c r="S11" s="585"/>
      <c r="T11" s="585"/>
      <c r="U11" s="585"/>
      <c r="V11" s="585"/>
      <c r="W11" s="585"/>
      <c r="X11" s="464" t="str">
        <f t="shared" ref="X11" si="4">IF(I11="","",I11)</f>
        <v/>
      </c>
      <c r="Y11" s="469"/>
      <c r="Z11" s="470"/>
      <c r="AA11" s="469"/>
      <c r="AB11" s="470"/>
      <c r="AC11" s="469"/>
      <c r="AD11" s="470"/>
      <c r="AE11" s="469"/>
      <c r="AG11" s="446"/>
      <c r="AH11" s="446"/>
    </row>
    <row r="12" spans="1:34" s="302" customFormat="1" ht="6.6" customHeight="1" outlineLevel="1" thickBot="1" x14ac:dyDescent="0.25">
      <c r="B12" s="304"/>
      <c r="C12" s="306"/>
      <c r="D12" s="306"/>
      <c r="E12" s="305"/>
      <c r="F12" s="472"/>
      <c r="G12" s="472"/>
      <c r="H12" s="472"/>
      <c r="I12" s="473"/>
      <c r="J12" s="474"/>
      <c r="K12" s="475"/>
      <c r="L12" s="586"/>
      <c r="M12" s="586"/>
      <c r="N12" s="586"/>
      <c r="O12" s="586"/>
      <c r="P12" s="586"/>
      <c r="Q12" s="586"/>
      <c r="R12" s="586"/>
      <c r="S12" s="586"/>
      <c r="T12" s="586"/>
      <c r="U12" s="586"/>
      <c r="V12" s="586"/>
      <c r="W12" s="586"/>
      <c r="X12" s="375"/>
      <c r="Y12" s="476"/>
      <c r="Z12" s="307"/>
      <c r="AA12" s="476"/>
      <c r="AB12" s="307"/>
      <c r="AC12" s="476"/>
      <c r="AD12" s="307"/>
      <c r="AE12" s="476"/>
      <c r="AG12" s="446"/>
      <c r="AH12" s="446"/>
    </row>
    <row r="13" spans="1:34" s="311" customFormat="1" ht="12.75" thickBot="1" x14ac:dyDescent="0.25">
      <c r="B13" s="303"/>
      <c r="C13" s="306" t="str">
        <f>C8</f>
        <v>Salaries: Teachers</v>
      </c>
      <c r="D13" s="477"/>
      <c r="E13" s="478"/>
      <c r="F13" s="633">
        <v>6111</v>
      </c>
      <c r="G13" s="633"/>
      <c r="H13" s="633"/>
      <c r="I13" s="634">
        <f>COUNTIF(I10:I11,"Y")</f>
        <v>0</v>
      </c>
      <c r="J13" s="631">
        <f>SUBTOTAL(9,J9:J12)</f>
        <v>0</v>
      </c>
      <c r="K13" s="632">
        <f>SUBTOTAL(9,K9:K12)</f>
        <v>0</v>
      </c>
      <c r="L13" s="622">
        <f>SUMPRODUCT(Payroll!$J$10:$J$12,Payroll!L10:L12)/12</f>
        <v>0</v>
      </c>
      <c r="M13" s="622">
        <f>SUMPRODUCT(Payroll!$J$10:$J$12,Payroll!M10:M12)/12</f>
        <v>0</v>
      </c>
      <c r="N13" s="622">
        <f>SUMPRODUCT(Payroll!$J$10:$J$12,Payroll!N10:N12)/12</f>
        <v>0</v>
      </c>
      <c r="O13" s="622">
        <f>SUMPRODUCT(Payroll!$J$10:$J$12,Payroll!O10:O12)/12</f>
        <v>0</v>
      </c>
      <c r="P13" s="622">
        <f>SUMPRODUCT(Payroll!$J$10:$J$12,Payroll!P10:P12)/12</f>
        <v>0</v>
      </c>
      <c r="Q13" s="622">
        <f>SUMPRODUCT(Payroll!$J$10:$J$12,Payroll!Q10:Q12)/12</f>
        <v>0</v>
      </c>
      <c r="R13" s="622">
        <f>SUMPRODUCT(Payroll!$J$10:$J$12,Payroll!R10:R12)/12</f>
        <v>0</v>
      </c>
      <c r="S13" s="622">
        <f>SUMPRODUCT(Payroll!$J$10:$J$12,Payroll!S10:S12)/12</f>
        <v>0</v>
      </c>
      <c r="T13" s="622">
        <f>SUMPRODUCT(Payroll!$J$10:$J$12,Payroll!T10:T12)/12</f>
        <v>0</v>
      </c>
      <c r="U13" s="622">
        <f>SUMPRODUCT(Payroll!$J$10:$J$12,Payroll!U10:U12)/12</f>
        <v>0</v>
      </c>
      <c r="V13" s="622">
        <f>SUMPRODUCT(Payroll!$J$10:$J$12,Payroll!V10:V12)/12</f>
        <v>0</v>
      </c>
      <c r="W13" s="622">
        <f>SUMPRODUCT(Payroll!$J$10:$J$12,Payroll!W10:W12)/12</f>
        <v>0</v>
      </c>
      <c r="X13" s="479">
        <f>I13</f>
        <v>0</v>
      </c>
      <c r="Y13" s="480">
        <f>SUBTOTAL(9,Y9:Y12)</f>
        <v>0</v>
      </c>
      <c r="Z13" s="481">
        <f>COUNTIF(Z9:Z12,"y")</f>
        <v>0</v>
      </c>
      <c r="AA13" s="480">
        <f>SUBTOTAL(9,AA9:AA12)</f>
        <v>0</v>
      </c>
      <c r="AB13" s="481">
        <f>COUNTIF(AB9:AB12,"y")</f>
        <v>0</v>
      </c>
      <c r="AC13" s="480">
        <f>SUBTOTAL(9,AC9:AC12)</f>
        <v>0</v>
      </c>
      <c r="AD13" s="481">
        <f>COUNTIF(AD9:AD12,"y")</f>
        <v>0</v>
      </c>
      <c r="AE13" s="480">
        <f>SUBTOTAL(9,AE9:AE12)</f>
        <v>0</v>
      </c>
      <c r="AG13" s="482">
        <v>0.01</v>
      </c>
      <c r="AH13" s="482">
        <f>K13-AG13</f>
        <v>-0.01</v>
      </c>
    </row>
    <row r="14" spans="1:34" s="302" customFormat="1" ht="12" outlineLevel="1" x14ac:dyDescent="0.2">
      <c r="B14" s="303" t="s">
        <v>45</v>
      </c>
      <c r="C14" s="311" t="s">
        <v>201</v>
      </c>
      <c r="E14" s="321"/>
      <c r="F14" s="483"/>
      <c r="G14" s="483"/>
      <c r="H14" s="483"/>
      <c r="I14" s="345"/>
      <c r="J14" s="460"/>
      <c r="K14" s="445"/>
      <c r="L14" s="580"/>
      <c r="M14" s="580"/>
      <c r="N14" s="580"/>
      <c r="O14" s="580"/>
      <c r="P14" s="580"/>
      <c r="Q14" s="580"/>
      <c r="R14" s="580"/>
      <c r="S14" s="580"/>
      <c r="T14" s="580"/>
      <c r="U14" s="580"/>
      <c r="V14" s="580"/>
      <c r="W14" s="580"/>
      <c r="X14" s="376"/>
      <c r="Z14" s="304"/>
      <c r="AB14" s="304"/>
      <c r="AD14" s="304"/>
      <c r="AG14" s="446"/>
      <c r="AH14" s="446"/>
    </row>
    <row r="15" spans="1:34" s="302" customFormat="1" ht="12" outlineLevel="1" x14ac:dyDescent="0.2">
      <c r="B15" s="304"/>
      <c r="C15" s="461" t="s">
        <v>79</v>
      </c>
      <c r="D15" s="461" t="s">
        <v>316</v>
      </c>
      <c r="E15" s="462" t="s">
        <v>334</v>
      </c>
      <c r="F15" s="462" t="s">
        <v>335</v>
      </c>
      <c r="G15" s="462" t="s">
        <v>81</v>
      </c>
      <c r="H15" s="462"/>
      <c r="I15" s="463" t="s">
        <v>385</v>
      </c>
      <c r="J15" s="450" t="str">
        <f>$J$6</f>
        <v>FY21 -Full</v>
      </c>
      <c r="K15" s="451" t="str">
        <f>$K$6</f>
        <v>FY21 -Partial</v>
      </c>
      <c r="L15" s="583" t="s">
        <v>156</v>
      </c>
      <c r="M15" s="583" t="s">
        <v>157</v>
      </c>
      <c r="N15" s="583" t="s">
        <v>158</v>
      </c>
      <c r="O15" s="583" t="s">
        <v>159</v>
      </c>
      <c r="P15" s="583" t="s">
        <v>160</v>
      </c>
      <c r="Q15" s="583" t="s">
        <v>161</v>
      </c>
      <c r="R15" s="583" t="s">
        <v>162</v>
      </c>
      <c r="S15" s="583" t="s">
        <v>163</v>
      </c>
      <c r="T15" s="583" t="s">
        <v>164</v>
      </c>
      <c r="U15" s="583" t="s">
        <v>165</v>
      </c>
      <c r="V15" s="583" t="s">
        <v>166</v>
      </c>
      <c r="W15" s="583" t="s">
        <v>167</v>
      </c>
      <c r="X15" s="658" t="str">
        <f t="shared" ref="X15" si="5">IF(I15="","",I15)</f>
        <v>Y/N</v>
      </c>
      <c r="Y15" s="465" t="str">
        <f>$X$6</f>
        <v>FY22</v>
      </c>
      <c r="Z15" s="466" t="str">
        <f>IF(X15="","",X15)</f>
        <v>Y/N</v>
      </c>
      <c r="AA15" s="465" t="str">
        <f>$Z$6</f>
        <v>FY23</v>
      </c>
      <c r="AB15" s="466" t="str">
        <f>IF(Z15="","",Z15)</f>
        <v>Y/N</v>
      </c>
      <c r="AC15" s="465" t="str">
        <f>$AB$6</f>
        <v>FY24</v>
      </c>
      <c r="AD15" s="466" t="str">
        <f>IF(AB15="","",AB15)</f>
        <v>Y/N</v>
      </c>
      <c r="AE15" s="465" t="str">
        <f>$AD$6</f>
        <v>FY25</v>
      </c>
      <c r="AG15" s="446"/>
      <c r="AH15" s="446"/>
    </row>
    <row r="16" spans="1:34" s="302" customFormat="1" ht="12" outlineLevel="1" x14ac:dyDescent="0.2">
      <c r="B16" s="304"/>
      <c r="C16" s="535" t="s">
        <v>524</v>
      </c>
      <c r="D16" s="535" t="s">
        <v>525</v>
      </c>
      <c r="E16" s="618">
        <v>135000</v>
      </c>
      <c r="F16" s="537" t="s">
        <v>533</v>
      </c>
      <c r="G16" s="667"/>
      <c r="H16" s="668">
        <f>IF(COUNTA(G16)=1,K16,0)</f>
        <v>0</v>
      </c>
      <c r="I16" s="538" t="s">
        <v>499</v>
      </c>
      <c r="J16" s="467">
        <f>IF(E16="","",IF(F16="ER",E16*(1-$E$127),E16*$E$126))</f>
        <v>134156.25</v>
      </c>
      <c r="K16" s="468">
        <f t="shared" ref="K16" si="6">IF(J16="","",J16/12*SUM(L16:W16))</f>
        <v>134156.25</v>
      </c>
      <c r="L16" s="584">
        <v>1</v>
      </c>
      <c r="M16" s="584">
        <v>1</v>
      </c>
      <c r="N16" s="584">
        <v>1</v>
      </c>
      <c r="O16" s="584">
        <v>1</v>
      </c>
      <c r="P16" s="584">
        <v>1</v>
      </c>
      <c r="Q16" s="584">
        <v>1</v>
      </c>
      <c r="R16" s="584">
        <v>1</v>
      </c>
      <c r="S16" s="584">
        <v>1</v>
      </c>
      <c r="T16" s="584">
        <v>1</v>
      </c>
      <c r="U16" s="584">
        <v>1</v>
      </c>
      <c r="V16" s="584">
        <v>1</v>
      </c>
      <c r="W16" s="584">
        <v>1</v>
      </c>
      <c r="X16" s="464" t="str">
        <f t="shared" ref="X16:X22" si="7">IF(I16="","",I16)</f>
        <v>Y</v>
      </c>
      <c r="Y16" s="469">
        <f>IF(J16="","",J16*(1+Y$7))</f>
        <v>136839.375</v>
      </c>
      <c r="Z16" s="470" t="str">
        <f t="shared" ref="Z16" si="8">IF(X16="","",X16)</f>
        <v>Y</v>
      </c>
      <c r="AA16" s="469">
        <f>IF(Y16="","",Y16*(1+AA$7))</f>
        <v>139576.16250000001</v>
      </c>
      <c r="AB16" s="470" t="str">
        <f t="shared" ref="AB16" si="9">IF(Z16="","",Z16)</f>
        <v>Y</v>
      </c>
      <c r="AC16" s="469">
        <f>IF(AA16="","",AA16*(1+AC$7))</f>
        <v>142367.68575</v>
      </c>
      <c r="AD16" s="470" t="str">
        <f t="shared" ref="AD16" si="10">IF(AB16="","",AB16)</f>
        <v>Y</v>
      </c>
      <c r="AE16" s="469">
        <f>IF(AC16="","",AC16*(1+AE$7))</f>
        <v>145215.03946500001</v>
      </c>
      <c r="AG16" s="446"/>
      <c r="AH16" s="446"/>
    </row>
    <row r="17" spans="2:34" s="302" customFormat="1" ht="12" outlineLevel="1" x14ac:dyDescent="0.2">
      <c r="B17" s="304"/>
      <c r="C17" s="535" t="s">
        <v>526</v>
      </c>
      <c r="D17" s="535" t="s">
        <v>527</v>
      </c>
      <c r="E17" s="618">
        <v>135000</v>
      </c>
      <c r="F17" s="537" t="s">
        <v>533</v>
      </c>
      <c r="G17" s="667"/>
      <c r="H17" s="668">
        <f t="shared" ref="H17" si="11">IF(COUNTA(G17)=1,K17,0)</f>
        <v>0</v>
      </c>
      <c r="I17" s="538" t="s">
        <v>499</v>
      </c>
      <c r="J17" s="467">
        <f>IF(E17="","",IF(F17="ER",E17*(1-$E$127),E17*$E$126))</f>
        <v>134156.25</v>
      </c>
      <c r="K17" s="468">
        <f t="shared" ref="K17:K18" si="12">IF(J17="","",J17/12*SUM(L17:W17))</f>
        <v>134156.25</v>
      </c>
      <c r="L17" s="584">
        <v>1</v>
      </c>
      <c r="M17" s="584">
        <v>1</v>
      </c>
      <c r="N17" s="584">
        <v>1</v>
      </c>
      <c r="O17" s="584">
        <v>1</v>
      </c>
      <c r="P17" s="584">
        <v>1</v>
      </c>
      <c r="Q17" s="584">
        <v>1</v>
      </c>
      <c r="R17" s="584">
        <v>1</v>
      </c>
      <c r="S17" s="584">
        <v>1</v>
      </c>
      <c r="T17" s="584">
        <v>1</v>
      </c>
      <c r="U17" s="584">
        <v>1</v>
      </c>
      <c r="V17" s="584">
        <v>1</v>
      </c>
      <c r="W17" s="584">
        <v>1</v>
      </c>
      <c r="X17" s="464" t="str">
        <f t="shared" ref="X17:X19" si="13">IF(I17="","",I17)</f>
        <v>Y</v>
      </c>
      <c r="Y17" s="469">
        <f t="shared" ref="Y17:Y18" si="14">IF(J17="","",J17*(1+Y$7))</f>
        <v>136839.375</v>
      </c>
      <c r="Z17" s="470" t="str">
        <f t="shared" ref="Z17:Z19" si="15">IF(X17="","",X17)</f>
        <v>Y</v>
      </c>
      <c r="AA17" s="469">
        <f t="shared" ref="AA17:AA19" si="16">IF(Y17="","",Y17*(1+AA$7))</f>
        <v>139576.16250000001</v>
      </c>
      <c r="AB17" s="470" t="str">
        <f t="shared" ref="AB17:AB19" si="17">IF(Z17="","",Z17)</f>
        <v>Y</v>
      </c>
      <c r="AC17" s="469">
        <f t="shared" ref="AC17:AC19" si="18">IF(AA17="","",AA17*(1+AC$7))</f>
        <v>142367.68575</v>
      </c>
      <c r="AD17" s="470" t="str">
        <f t="shared" ref="AD17:AD19" si="19">IF(AB17="","",AB17)</f>
        <v>Y</v>
      </c>
      <c r="AE17" s="469">
        <f t="shared" ref="AE17:AE19" si="20">IF(AC17="","",AC17*(1+AE$7))</f>
        <v>145215.03946500001</v>
      </c>
      <c r="AG17" s="446"/>
      <c r="AH17" s="446"/>
    </row>
    <row r="18" spans="2:34" s="302" customFormat="1" ht="12" outlineLevel="1" x14ac:dyDescent="0.2">
      <c r="B18" s="304"/>
      <c r="C18" s="535" t="s">
        <v>528</v>
      </c>
      <c r="D18" s="535" t="s">
        <v>529</v>
      </c>
      <c r="E18" s="618">
        <v>110000</v>
      </c>
      <c r="F18" s="537" t="s">
        <v>533</v>
      </c>
      <c r="G18" s="667"/>
      <c r="H18" s="668">
        <f t="shared" ref="H18:H22" si="21">IF(COUNTA(G18)=1,K18,0)</f>
        <v>0</v>
      </c>
      <c r="I18" s="538" t="s">
        <v>499</v>
      </c>
      <c r="J18" s="467">
        <f>IF(E18="","",IF(F18="ER",E18*(1-$E$127),E18*$E$126))</f>
        <v>109312.5</v>
      </c>
      <c r="K18" s="468">
        <f t="shared" si="12"/>
        <v>109312.5</v>
      </c>
      <c r="L18" s="584">
        <v>1</v>
      </c>
      <c r="M18" s="584">
        <v>1</v>
      </c>
      <c r="N18" s="584">
        <v>1</v>
      </c>
      <c r="O18" s="584">
        <v>1</v>
      </c>
      <c r="P18" s="584">
        <v>1</v>
      </c>
      <c r="Q18" s="584">
        <v>1</v>
      </c>
      <c r="R18" s="584">
        <v>1</v>
      </c>
      <c r="S18" s="584">
        <v>1</v>
      </c>
      <c r="T18" s="584">
        <v>1</v>
      </c>
      <c r="U18" s="584">
        <v>1</v>
      </c>
      <c r="V18" s="584">
        <v>1</v>
      </c>
      <c r="W18" s="584">
        <v>1</v>
      </c>
      <c r="X18" s="464" t="str">
        <f t="shared" si="13"/>
        <v>Y</v>
      </c>
      <c r="Y18" s="469">
        <f t="shared" si="14"/>
        <v>111498.75</v>
      </c>
      <c r="Z18" s="470" t="str">
        <f t="shared" si="15"/>
        <v>Y</v>
      </c>
      <c r="AA18" s="469">
        <f t="shared" si="16"/>
        <v>113728.72500000001</v>
      </c>
      <c r="AB18" s="470" t="str">
        <f t="shared" si="17"/>
        <v>Y</v>
      </c>
      <c r="AC18" s="469">
        <f t="shared" si="18"/>
        <v>116003.29950000001</v>
      </c>
      <c r="AD18" s="470" t="str">
        <f t="shared" si="19"/>
        <v>Y</v>
      </c>
      <c r="AE18" s="469">
        <f t="shared" si="20"/>
        <v>118323.36549000001</v>
      </c>
      <c r="AG18" s="446"/>
      <c r="AH18" s="446"/>
    </row>
    <row r="19" spans="2:34" s="302" customFormat="1" ht="12" outlineLevel="1" x14ac:dyDescent="0.2">
      <c r="B19" s="304"/>
      <c r="C19" s="535" t="s">
        <v>538</v>
      </c>
      <c r="D19" s="535" t="s">
        <v>531</v>
      </c>
      <c r="E19" s="618">
        <v>100000</v>
      </c>
      <c r="F19" s="537" t="s">
        <v>498</v>
      </c>
      <c r="G19" s="667"/>
      <c r="H19" s="668">
        <f t="shared" si="21"/>
        <v>0</v>
      </c>
      <c r="I19" s="538" t="s">
        <v>499</v>
      </c>
      <c r="J19" s="467">
        <f>IF(E19="","",IF(F19="ER",E19*(1-$E$127),E19*$E$126))</f>
        <v>115202.7</v>
      </c>
      <c r="K19" s="468">
        <f t="shared" ref="K19" si="22">IF(J19="","",J19/12*SUM(L19:W19))</f>
        <v>115202.70000000001</v>
      </c>
      <c r="L19" s="584">
        <v>1</v>
      </c>
      <c r="M19" s="584">
        <v>1</v>
      </c>
      <c r="N19" s="584">
        <v>1</v>
      </c>
      <c r="O19" s="584">
        <v>1</v>
      </c>
      <c r="P19" s="584">
        <v>1</v>
      </c>
      <c r="Q19" s="584">
        <v>1</v>
      </c>
      <c r="R19" s="584">
        <v>1</v>
      </c>
      <c r="S19" s="584">
        <v>1</v>
      </c>
      <c r="T19" s="584">
        <v>1</v>
      </c>
      <c r="U19" s="584">
        <v>1</v>
      </c>
      <c r="V19" s="584">
        <v>1</v>
      </c>
      <c r="W19" s="584">
        <v>1</v>
      </c>
      <c r="X19" s="464" t="str">
        <f t="shared" si="13"/>
        <v>Y</v>
      </c>
      <c r="Y19" s="469">
        <f>IF(J19="","",J19*(1+Y$7))</f>
        <v>117506.754</v>
      </c>
      <c r="Z19" s="470" t="str">
        <f t="shared" si="15"/>
        <v>Y</v>
      </c>
      <c r="AA19" s="469">
        <f t="shared" si="16"/>
        <v>119856.88908000001</v>
      </c>
      <c r="AB19" s="470" t="str">
        <f t="shared" si="17"/>
        <v>Y</v>
      </c>
      <c r="AC19" s="469">
        <f t="shared" si="18"/>
        <v>122254.02686160001</v>
      </c>
      <c r="AD19" s="470" t="str">
        <f t="shared" si="19"/>
        <v>Y</v>
      </c>
      <c r="AE19" s="469">
        <f t="shared" si="20"/>
        <v>124699.10739883201</v>
      </c>
      <c r="AG19" s="446"/>
      <c r="AH19" s="446"/>
    </row>
    <row r="20" spans="2:34" s="302" customFormat="1" ht="12" outlineLevel="1" x14ac:dyDescent="0.2">
      <c r="B20" s="304"/>
      <c r="C20" s="535"/>
      <c r="D20" s="535"/>
      <c r="E20" s="618"/>
      <c r="F20" s="537"/>
      <c r="G20" s="667"/>
      <c r="H20" s="668">
        <f t="shared" si="21"/>
        <v>0</v>
      </c>
      <c r="I20" s="538"/>
      <c r="J20" s="467"/>
      <c r="K20" s="468"/>
      <c r="L20" s="584"/>
      <c r="M20" s="584"/>
      <c r="N20" s="584"/>
      <c r="O20" s="584"/>
      <c r="P20" s="584"/>
      <c r="Q20" s="584"/>
      <c r="R20" s="584"/>
      <c r="S20" s="584"/>
      <c r="T20" s="584"/>
      <c r="U20" s="584"/>
      <c r="V20" s="584"/>
      <c r="W20" s="584"/>
      <c r="X20" s="464"/>
      <c r="Y20" s="469"/>
      <c r="Z20" s="470"/>
      <c r="AA20" s="469"/>
      <c r="AB20" s="470"/>
      <c r="AC20" s="469"/>
      <c r="AD20" s="470"/>
      <c r="AE20" s="469"/>
      <c r="AG20" s="446"/>
      <c r="AH20" s="446"/>
    </row>
    <row r="21" spans="2:34" s="302" customFormat="1" ht="12" outlineLevel="1" x14ac:dyDescent="0.2">
      <c r="B21" s="304"/>
      <c r="C21" s="535"/>
      <c r="D21" s="535"/>
      <c r="E21" s="618"/>
      <c r="F21" s="537"/>
      <c r="G21" s="667"/>
      <c r="H21" s="668">
        <f t="shared" si="21"/>
        <v>0</v>
      </c>
      <c r="I21" s="538"/>
      <c r="J21" s="467"/>
      <c r="K21" s="468"/>
      <c r="L21" s="584"/>
      <c r="M21" s="584"/>
      <c r="N21" s="584"/>
      <c r="O21" s="584"/>
      <c r="P21" s="584"/>
      <c r="Q21" s="584"/>
      <c r="R21" s="584"/>
      <c r="S21" s="584"/>
      <c r="T21" s="584"/>
      <c r="U21" s="584"/>
      <c r="V21" s="584"/>
      <c r="W21" s="584"/>
      <c r="X21" s="464"/>
      <c r="Y21" s="469"/>
      <c r="Z21" s="470"/>
      <c r="AA21" s="469"/>
      <c r="AB21" s="470"/>
      <c r="AC21" s="469"/>
      <c r="AD21" s="470"/>
      <c r="AE21" s="469"/>
      <c r="AG21" s="446"/>
      <c r="AH21" s="446"/>
    </row>
    <row r="22" spans="2:34" s="302" customFormat="1" ht="12" outlineLevel="1" x14ac:dyDescent="0.2">
      <c r="B22" s="304"/>
      <c r="C22" s="539"/>
      <c r="D22" s="539"/>
      <c r="E22" s="627"/>
      <c r="F22" s="541"/>
      <c r="G22" s="667"/>
      <c r="H22" s="668">
        <f t="shared" si="21"/>
        <v>0</v>
      </c>
      <c r="I22" s="609"/>
      <c r="J22" s="467"/>
      <c r="K22" s="468"/>
      <c r="L22" s="585"/>
      <c r="M22" s="585"/>
      <c r="N22" s="585"/>
      <c r="O22" s="585"/>
      <c r="P22" s="585"/>
      <c r="Q22" s="585"/>
      <c r="R22" s="585"/>
      <c r="S22" s="585"/>
      <c r="T22" s="585"/>
      <c r="U22" s="585"/>
      <c r="V22" s="585"/>
      <c r="W22" s="585"/>
      <c r="X22" s="464" t="str">
        <f t="shared" si="7"/>
        <v/>
      </c>
      <c r="Y22" s="469" t="str">
        <f t="shared" ref="Y22" si="23">IF(J22="","",J22*(1+Y$7))</f>
        <v/>
      </c>
      <c r="Z22" s="470" t="str">
        <f t="shared" ref="Z22" si="24">IF(X22="","",X22)</f>
        <v/>
      </c>
      <c r="AA22" s="469" t="str">
        <f t="shared" ref="AA22" si="25">IF(Y22="","",Y22*(1+AA$7))</f>
        <v/>
      </c>
      <c r="AB22" s="470" t="str">
        <f t="shared" ref="AB22" si="26">IF(Z22="","",Z22)</f>
        <v/>
      </c>
      <c r="AC22" s="469" t="str">
        <f t="shared" ref="AC22" si="27">IF(AA22="","",AA22*(1+AC$7))</f>
        <v/>
      </c>
      <c r="AD22" s="470" t="str">
        <f t="shared" ref="AD22" si="28">IF(AB22="","",AB22)</f>
        <v/>
      </c>
      <c r="AE22" s="469" t="str">
        <f t="shared" ref="AE22" si="29">IF(AC22="","",AC22*(1+AE$7))</f>
        <v/>
      </c>
      <c r="AG22" s="446"/>
      <c r="AH22" s="446"/>
    </row>
    <row r="23" spans="2:34" s="302" customFormat="1" ht="6.6" customHeight="1" outlineLevel="1" thickBot="1" x14ac:dyDescent="0.25">
      <c r="B23" s="304"/>
      <c r="C23" s="306"/>
      <c r="D23" s="306"/>
      <c r="E23" s="525"/>
      <c r="F23" s="484"/>
      <c r="G23" s="484"/>
      <c r="H23" s="484"/>
      <c r="I23" s="473"/>
      <c r="J23" s="474"/>
      <c r="K23" s="475"/>
      <c r="L23" s="586"/>
      <c r="M23" s="586"/>
      <c r="N23" s="586"/>
      <c r="O23" s="586"/>
      <c r="P23" s="586"/>
      <c r="Q23" s="586"/>
      <c r="R23" s="586"/>
      <c r="S23" s="586"/>
      <c r="T23" s="586"/>
      <c r="U23" s="586"/>
      <c r="V23" s="586"/>
      <c r="W23" s="586"/>
      <c r="X23" s="375"/>
      <c r="Y23" s="476"/>
      <c r="Z23" s="307"/>
      <c r="AA23" s="476"/>
      <c r="AB23" s="307"/>
      <c r="AC23" s="476"/>
      <c r="AD23" s="307"/>
      <c r="AE23" s="476"/>
      <c r="AG23" s="446"/>
      <c r="AH23" s="446"/>
    </row>
    <row r="24" spans="2:34" s="311" customFormat="1" ht="12.75" thickBot="1" x14ac:dyDescent="0.25">
      <c r="B24" s="303"/>
      <c r="C24" s="306" t="str">
        <f>C14</f>
        <v>Salaries: Licensed Admin</v>
      </c>
      <c r="D24" s="477"/>
      <c r="E24" s="675"/>
      <c r="F24" s="633">
        <v>6114</v>
      </c>
      <c r="G24" s="633"/>
      <c r="H24" s="633"/>
      <c r="I24" s="634">
        <f>COUNTIF(I16:I22,"Y")</f>
        <v>4</v>
      </c>
      <c r="J24" s="631">
        <f>SUBTOTAL(9,J15:J23)</f>
        <v>492827.7</v>
      </c>
      <c r="K24" s="632">
        <f>SUBTOTAL(9,K15:K23)</f>
        <v>492827.7</v>
      </c>
      <c r="L24" s="622">
        <f>SUMPRODUCT(Payroll!$J$16:$J$23,Payroll!L16:L23)/12</f>
        <v>41068.974999999999</v>
      </c>
      <c r="M24" s="622">
        <f>SUMPRODUCT(Payroll!$J$16:$J$23,Payroll!M16:M23)/12</f>
        <v>41068.974999999999</v>
      </c>
      <c r="N24" s="622">
        <f>SUMPRODUCT(Payroll!$J$16:$J$23,Payroll!N16:N23)/12</f>
        <v>41068.974999999999</v>
      </c>
      <c r="O24" s="622">
        <f>SUMPRODUCT(Payroll!$J$16:$J$23,Payroll!O16:O23)/12</f>
        <v>41068.974999999999</v>
      </c>
      <c r="P24" s="622">
        <f>SUMPRODUCT(Payroll!$J$16:$J$23,Payroll!P16:P23)/12</f>
        <v>41068.974999999999</v>
      </c>
      <c r="Q24" s="622">
        <f>SUMPRODUCT(Payroll!$J$16:$J$23,Payroll!Q16:Q23)/12</f>
        <v>41068.974999999999</v>
      </c>
      <c r="R24" s="622">
        <f>SUMPRODUCT(Payroll!$J$16:$J$23,Payroll!R16:R23)/12</f>
        <v>41068.974999999999</v>
      </c>
      <c r="S24" s="622">
        <f>SUMPRODUCT(Payroll!$J$16:$J$23,Payroll!S16:S23)/12</f>
        <v>41068.974999999999</v>
      </c>
      <c r="T24" s="622">
        <f>SUMPRODUCT(Payroll!$J$16:$J$23,Payroll!T16:T23)/12</f>
        <v>41068.974999999999</v>
      </c>
      <c r="U24" s="622">
        <f>SUMPRODUCT(Payroll!$J$16:$J$23,Payroll!U16:U23)/12</f>
        <v>41068.974999999999</v>
      </c>
      <c r="V24" s="622">
        <f>SUMPRODUCT(Payroll!$J$16:$J$23,Payroll!V16:V23)/12</f>
        <v>41068.974999999999</v>
      </c>
      <c r="W24" s="622">
        <f>SUMPRODUCT(Payroll!$J$16:$J$23,Payroll!W16:W23)/12</f>
        <v>41068.974999999999</v>
      </c>
      <c r="X24" s="479">
        <f>I24</f>
        <v>4</v>
      </c>
      <c r="Y24" s="480">
        <f>SUBTOTAL(9,Y15:Y23)</f>
        <v>502684.25400000002</v>
      </c>
      <c r="Z24" s="481">
        <f>COUNTIF(Z15:Z23,"y")</f>
        <v>4</v>
      </c>
      <c r="AA24" s="480">
        <f>SUBTOTAL(9,AA15:AA23)</f>
        <v>512737.93908000004</v>
      </c>
      <c r="AB24" s="481">
        <f>COUNTIF(AB15:AB23,"y")</f>
        <v>4</v>
      </c>
      <c r="AC24" s="480">
        <f>SUBTOTAL(9,AC15:AC23)</f>
        <v>522992.69786160003</v>
      </c>
      <c r="AD24" s="481">
        <f>COUNTIF(AD15:AD23,"y")</f>
        <v>4</v>
      </c>
      <c r="AE24" s="480">
        <f>SUBTOTAL(9,AE15:AE23)</f>
        <v>533452.55181883206</v>
      </c>
      <c r="AG24" s="482">
        <v>0.01</v>
      </c>
      <c r="AH24" s="482">
        <f>K24-AG24</f>
        <v>492827.69</v>
      </c>
    </row>
    <row r="25" spans="2:34" s="302" customFormat="1" ht="12" outlineLevel="1" x14ac:dyDescent="0.2">
      <c r="B25" s="303" t="s">
        <v>46</v>
      </c>
      <c r="C25" s="311" t="s">
        <v>212</v>
      </c>
      <c r="E25" s="676"/>
      <c r="F25" s="483"/>
      <c r="G25" s="483"/>
      <c r="H25" s="483"/>
      <c r="I25" s="345"/>
      <c r="J25" s="460"/>
      <c r="K25" s="445"/>
      <c r="L25" s="580"/>
      <c r="M25" s="580"/>
      <c r="N25" s="580"/>
      <c r="O25" s="580"/>
      <c r="P25" s="580"/>
      <c r="Q25" s="580"/>
      <c r="R25" s="580"/>
      <c r="S25" s="580"/>
      <c r="T25" s="580"/>
      <c r="U25" s="580"/>
      <c r="V25" s="580"/>
      <c r="W25" s="580"/>
      <c r="X25" s="376"/>
      <c r="Z25" s="304"/>
      <c r="AB25" s="304"/>
      <c r="AD25" s="304"/>
      <c r="AG25" s="446"/>
      <c r="AH25" s="446"/>
    </row>
    <row r="26" spans="2:34" s="302" customFormat="1" ht="12" outlineLevel="1" x14ac:dyDescent="0.2">
      <c r="B26" s="304"/>
      <c r="C26" s="461" t="s">
        <v>79</v>
      </c>
      <c r="D26" s="461" t="s">
        <v>316</v>
      </c>
      <c r="E26" s="677" t="s">
        <v>334</v>
      </c>
      <c r="F26" s="462" t="s">
        <v>335</v>
      </c>
      <c r="G26" s="462" t="s">
        <v>81</v>
      </c>
      <c r="H26" s="462"/>
      <c r="I26" s="463" t="s">
        <v>385</v>
      </c>
      <c r="J26" s="450" t="str">
        <f>$J$6</f>
        <v>FY21 -Full</v>
      </c>
      <c r="K26" s="451" t="str">
        <f>$K$6</f>
        <v>FY21 -Partial</v>
      </c>
      <c r="L26" s="583" t="s">
        <v>156</v>
      </c>
      <c r="M26" s="583" t="s">
        <v>157</v>
      </c>
      <c r="N26" s="583" t="s">
        <v>158</v>
      </c>
      <c r="O26" s="583" t="s">
        <v>159</v>
      </c>
      <c r="P26" s="583" t="s">
        <v>160</v>
      </c>
      <c r="Q26" s="583" t="s">
        <v>161</v>
      </c>
      <c r="R26" s="583" t="s">
        <v>162</v>
      </c>
      <c r="S26" s="583" t="s">
        <v>163</v>
      </c>
      <c r="T26" s="583" t="s">
        <v>164</v>
      </c>
      <c r="U26" s="583" t="s">
        <v>165</v>
      </c>
      <c r="V26" s="583" t="s">
        <v>166</v>
      </c>
      <c r="W26" s="583" t="s">
        <v>167</v>
      </c>
      <c r="X26" s="658" t="str">
        <f t="shared" ref="X26" si="30">IF(I26="","",I26)</f>
        <v>Y/N</v>
      </c>
      <c r="Y26" s="465" t="str">
        <f>$X$6</f>
        <v>FY22</v>
      </c>
      <c r="Z26" s="466" t="str">
        <f>IF(X26="","",X26)</f>
        <v>Y/N</v>
      </c>
      <c r="AA26" s="465" t="str">
        <f>$Z$6</f>
        <v>FY23</v>
      </c>
      <c r="AB26" s="466" t="str">
        <f>IF(Z26="","",Z26)</f>
        <v>Y/N</v>
      </c>
      <c r="AC26" s="465" t="str">
        <f>$AB$6</f>
        <v>FY24</v>
      </c>
      <c r="AD26" s="466" t="str">
        <f>IF(AB26="","",AB26)</f>
        <v>Y/N</v>
      </c>
      <c r="AE26" s="465" t="str">
        <f>$AD$6</f>
        <v>FY25</v>
      </c>
      <c r="AG26" s="446"/>
      <c r="AH26" s="446"/>
    </row>
    <row r="27" spans="2:34" s="302" customFormat="1" ht="12" outlineLevel="1" x14ac:dyDescent="0.2">
      <c r="B27" s="304"/>
      <c r="C27" s="535" t="s">
        <v>534</v>
      </c>
      <c r="D27" s="535" t="s">
        <v>535</v>
      </c>
      <c r="E27" s="618">
        <v>68000</v>
      </c>
      <c r="F27" s="537" t="s">
        <v>533</v>
      </c>
      <c r="G27" s="667"/>
      <c r="H27" s="668">
        <f>IF(COUNTA(G27)=1,K27,0)</f>
        <v>0</v>
      </c>
      <c r="I27" s="538" t="s">
        <v>499</v>
      </c>
      <c r="J27" s="467">
        <f t="shared" ref="J27:J35" si="31">IF(E27="","",IF(F27="ER",E27*(1-$E$127),E27*$E$126))</f>
        <v>67575</v>
      </c>
      <c r="K27" s="468">
        <f t="shared" ref="K27" si="32">IF(J27="","",J27/12*SUM(L27:W27))</f>
        <v>67575</v>
      </c>
      <c r="L27" s="584">
        <v>1</v>
      </c>
      <c r="M27" s="584">
        <v>1</v>
      </c>
      <c r="N27" s="584">
        <v>1</v>
      </c>
      <c r="O27" s="584">
        <v>1</v>
      </c>
      <c r="P27" s="584">
        <v>1</v>
      </c>
      <c r="Q27" s="584">
        <v>1</v>
      </c>
      <c r="R27" s="584">
        <v>1</v>
      </c>
      <c r="S27" s="584">
        <v>1</v>
      </c>
      <c r="T27" s="584">
        <v>1</v>
      </c>
      <c r="U27" s="584">
        <v>1</v>
      </c>
      <c r="V27" s="584">
        <v>1</v>
      </c>
      <c r="W27" s="584">
        <v>1</v>
      </c>
      <c r="X27" s="464" t="str">
        <f t="shared" ref="X27:X39" si="33">IF(I27="","",I27)</f>
        <v>Y</v>
      </c>
      <c r="Y27" s="469">
        <f>IF(J27="","",J27*(1+Y$7))</f>
        <v>68926.5</v>
      </c>
      <c r="Z27" s="470" t="str">
        <f t="shared" ref="Z27" si="34">IF(X27="","",X27)</f>
        <v>Y</v>
      </c>
      <c r="AA27" s="469">
        <f>IF(Y27="","",Y27*(1+AA$7))</f>
        <v>70305.03</v>
      </c>
      <c r="AB27" s="470" t="str">
        <f t="shared" ref="AB27" si="35">IF(Z27="","",Z27)</f>
        <v>Y</v>
      </c>
      <c r="AC27" s="469">
        <f>IF(AA27="","",AA27*(1+AC$7))</f>
        <v>71711.130600000004</v>
      </c>
      <c r="AD27" s="470" t="str">
        <f t="shared" ref="AD27" si="36">IF(AB27="","",AB27)</f>
        <v>Y</v>
      </c>
      <c r="AE27" s="469">
        <f>IF(AC27="","",AC27*(1+AE$7))</f>
        <v>73145.353212000002</v>
      </c>
      <c r="AG27" s="446"/>
      <c r="AH27" s="446"/>
    </row>
    <row r="28" spans="2:34" s="302" customFormat="1" ht="12" outlineLevel="1" x14ac:dyDescent="0.2">
      <c r="B28" s="304"/>
      <c r="C28" s="535" t="s">
        <v>536</v>
      </c>
      <c r="D28" s="535" t="s">
        <v>537</v>
      </c>
      <c r="E28" s="618">
        <v>57000</v>
      </c>
      <c r="F28" s="537" t="s">
        <v>498</v>
      </c>
      <c r="G28" s="667"/>
      <c r="H28" s="668">
        <f t="shared" ref="H28:H32" si="37">IF(COUNTA(G28)=1,K28,0)</f>
        <v>0</v>
      </c>
      <c r="I28" s="538" t="s">
        <v>499</v>
      </c>
      <c r="J28" s="467">
        <f t="shared" si="31"/>
        <v>65665.53899999999</v>
      </c>
      <c r="K28" s="468">
        <f t="shared" ref="K28:K35" si="38">IF(J28="","",J28/12*SUM(L28:W28))</f>
        <v>65665.53899999999</v>
      </c>
      <c r="L28" s="584">
        <v>1</v>
      </c>
      <c r="M28" s="584">
        <v>1</v>
      </c>
      <c r="N28" s="584">
        <v>1</v>
      </c>
      <c r="O28" s="584">
        <v>1</v>
      </c>
      <c r="P28" s="584">
        <v>1</v>
      </c>
      <c r="Q28" s="584">
        <v>1</v>
      </c>
      <c r="R28" s="584">
        <v>1</v>
      </c>
      <c r="S28" s="584">
        <v>1</v>
      </c>
      <c r="T28" s="584">
        <v>1</v>
      </c>
      <c r="U28" s="584">
        <v>1</v>
      </c>
      <c r="V28" s="584">
        <v>1</v>
      </c>
      <c r="W28" s="584">
        <v>1</v>
      </c>
      <c r="X28" s="464" t="str">
        <f t="shared" ref="X28:X35" si="39">IF(I28="","",I28)</f>
        <v>Y</v>
      </c>
      <c r="Y28" s="469">
        <f t="shared" ref="Y28:Y35" si="40">IF(J28="","",J28*(1+Y$7))</f>
        <v>66978.84977999999</v>
      </c>
      <c r="Z28" s="470" t="str">
        <f t="shared" ref="Z28:Z35" si="41">IF(X28="","",X28)</f>
        <v>Y</v>
      </c>
      <c r="AA28" s="469">
        <f t="shared" ref="AA28:AA35" si="42">IF(Y28="","",Y28*(1+AA$7))</f>
        <v>68318.42677559999</v>
      </c>
      <c r="AB28" s="470" t="str">
        <f t="shared" ref="AB28:AB35" si="43">IF(Z28="","",Z28)</f>
        <v>Y</v>
      </c>
      <c r="AC28" s="469">
        <f t="shared" ref="AC28:AC35" si="44">IF(AA28="","",AA28*(1+AC$7))</f>
        <v>69684.795311111986</v>
      </c>
      <c r="AD28" s="470" t="str">
        <f t="shared" ref="AD28:AD35" si="45">IF(AB28="","",AB28)</f>
        <v>Y</v>
      </c>
      <c r="AE28" s="469">
        <f t="shared" ref="AE28:AE35" si="46">IF(AC28="","",AC28*(1+AE$7))</f>
        <v>71078.491217334231</v>
      </c>
      <c r="AG28" s="446"/>
      <c r="AH28" s="446"/>
    </row>
    <row r="29" spans="2:34" s="302" customFormat="1" ht="12" outlineLevel="1" x14ac:dyDescent="0.2">
      <c r="B29" s="304"/>
      <c r="C29" s="535" t="s">
        <v>538</v>
      </c>
      <c r="D29" s="535" t="s">
        <v>539</v>
      </c>
      <c r="E29" s="618">
        <v>55000</v>
      </c>
      <c r="F29" s="537" t="s">
        <v>498</v>
      </c>
      <c r="G29" s="667"/>
      <c r="H29" s="668">
        <f>IF(COUNTA(G29)=1,K29,0)</f>
        <v>0</v>
      </c>
      <c r="I29" s="538" t="s">
        <v>499</v>
      </c>
      <c r="J29" s="467">
        <f t="shared" si="31"/>
        <v>63361.484999999993</v>
      </c>
      <c r="K29" s="468">
        <f t="shared" si="38"/>
        <v>63361.485000000001</v>
      </c>
      <c r="L29" s="584">
        <v>1</v>
      </c>
      <c r="M29" s="584">
        <v>1</v>
      </c>
      <c r="N29" s="584">
        <v>1</v>
      </c>
      <c r="O29" s="584">
        <v>1</v>
      </c>
      <c r="P29" s="584">
        <v>1</v>
      </c>
      <c r="Q29" s="584">
        <v>1</v>
      </c>
      <c r="R29" s="584">
        <v>1</v>
      </c>
      <c r="S29" s="584">
        <v>1</v>
      </c>
      <c r="T29" s="584">
        <v>1</v>
      </c>
      <c r="U29" s="584">
        <v>1</v>
      </c>
      <c r="V29" s="584">
        <v>1</v>
      </c>
      <c r="W29" s="584">
        <v>1</v>
      </c>
      <c r="X29" s="464" t="str">
        <f t="shared" si="39"/>
        <v>Y</v>
      </c>
      <c r="Y29" s="469">
        <f t="shared" si="40"/>
        <v>64628.714699999997</v>
      </c>
      <c r="Z29" s="470" t="str">
        <f t="shared" si="41"/>
        <v>Y</v>
      </c>
      <c r="AA29" s="469">
        <f t="shared" si="42"/>
        <v>65921.288994000002</v>
      </c>
      <c r="AB29" s="470" t="str">
        <f t="shared" si="43"/>
        <v>Y</v>
      </c>
      <c r="AC29" s="469">
        <f t="shared" si="44"/>
        <v>67239.714773879998</v>
      </c>
      <c r="AD29" s="470" t="str">
        <f t="shared" si="45"/>
        <v>Y</v>
      </c>
      <c r="AE29" s="469">
        <f t="shared" si="46"/>
        <v>68584.509069357606</v>
      </c>
      <c r="AG29" s="446"/>
      <c r="AH29" s="446"/>
    </row>
    <row r="30" spans="2:34" s="302" customFormat="1" ht="12" outlineLevel="1" x14ac:dyDescent="0.2">
      <c r="B30" s="304"/>
      <c r="C30" s="535" t="s">
        <v>538</v>
      </c>
      <c r="D30" s="535" t="s">
        <v>540</v>
      </c>
      <c r="E30" s="618">
        <v>100000</v>
      </c>
      <c r="F30" s="537" t="s">
        <v>533</v>
      </c>
      <c r="G30" s="667"/>
      <c r="H30" s="668">
        <f t="shared" si="37"/>
        <v>0</v>
      </c>
      <c r="I30" s="538" t="s">
        <v>499</v>
      </c>
      <c r="J30" s="467">
        <f t="shared" si="31"/>
        <v>99375</v>
      </c>
      <c r="K30" s="468">
        <f t="shared" ref="K30" si="47">IF(J30="","",J30/12*SUM(L30:W30))</f>
        <v>99375</v>
      </c>
      <c r="L30" s="584">
        <v>1</v>
      </c>
      <c r="M30" s="584">
        <v>1</v>
      </c>
      <c r="N30" s="584">
        <v>1</v>
      </c>
      <c r="O30" s="584">
        <v>1</v>
      </c>
      <c r="P30" s="584">
        <v>1</v>
      </c>
      <c r="Q30" s="584">
        <v>1</v>
      </c>
      <c r="R30" s="584">
        <v>1</v>
      </c>
      <c r="S30" s="584">
        <v>1</v>
      </c>
      <c r="T30" s="584">
        <v>1</v>
      </c>
      <c r="U30" s="584">
        <v>1</v>
      </c>
      <c r="V30" s="584">
        <v>1</v>
      </c>
      <c r="W30" s="584">
        <v>1</v>
      </c>
      <c r="X30" s="464" t="str">
        <f t="shared" si="39"/>
        <v>Y</v>
      </c>
      <c r="Y30" s="469">
        <f t="shared" si="40"/>
        <v>101362.5</v>
      </c>
      <c r="Z30" s="470" t="str">
        <f t="shared" si="41"/>
        <v>Y</v>
      </c>
      <c r="AA30" s="469">
        <f t="shared" si="42"/>
        <v>103389.75</v>
      </c>
      <c r="AB30" s="470" t="str">
        <f t="shared" si="43"/>
        <v>Y</v>
      </c>
      <c r="AC30" s="469">
        <f t="shared" si="44"/>
        <v>105457.545</v>
      </c>
      <c r="AD30" s="470" t="str">
        <f t="shared" si="45"/>
        <v>Y</v>
      </c>
      <c r="AE30" s="469">
        <f t="shared" si="46"/>
        <v>107566.69590000001</v>
      </c>
      <c r="AG30" s="446"/>
      <c r="AH30" s="446"/>
    </row>
    <row r="31" spans="2:34" s="302" customFormat="1" ht="12" outlineLevel="1" x14ac:dyDescent="0.2">
      <c r="B31" s="304"/>
      <c r="C31" s="535" t="s">
        <v>541</v>
      </c>
      <c r="D31" s="535" t="s">
        <v>542</v>
      </c>
      <c r="E31" s="618">
        <v>73000</v>
      </c>
      <c r="F31" s="537" t="s">
        <v>498</v>
      </c>
      <c r="G31" s="667"/>
      <c r="H31" s="668">
        <f t="shared" si="37"/>
        <v>0</v>
      </c>
      <c r="I31" s="538" t="s">
        <v>499</v>
      </c>
      <c r="J31" s="467">
        <f t="shared" si="31"/>
        <v>84097.97099999999</v>
      </c>
      <c r="K31" s="468">
        <f t="shared" si="38"/>
        <v>84097.97099999999</v>
      </c>
      <c r="L31" s="584">
        <v>1</v>
      </c>
      <c r="M31" s="584">
        <v>1</v>
      </c>
      <c r="N31" s="584">
        <v>1</v>
      </c>
      <c r="O31" s="584">
        <v>1</v>
      </c>
      <c r="P31" s="584">
        <v>1</v>
      </c>
      <c r="Q31" s="584">
        <v>1</v>
      </c>
      <c r="R31" s="584">
        <v>1</v>
      </c>
      <c r="S31" s="584">
        <v>1</v>
      </c>
      <c r="T31" s="584">
        <v>1</v>
      </c>
      <c r="U31" s="584">
        <v>1</v>
      </c>
      <c r="V31" s="584">
        <v>1</v>
      </c>
      <c r="W31" s="584">
        <v>1</v>
      </c>
      <c r="X31" s="464" t="str">
        <f t="shared" si="39"/>
        <v>Y</v>
      </c>
      <c r="Y31" s="469">
        <f t="shared" si="40"/>
        <v>85779.93041999999</v>
      </c>
      <c r="Z31" s="470" t="str">
        <f t="shared" si="41"/>
        <v>Y</v>
      </c>
      <c r="AA31" s="469">
        <f t="shared" si="42"/>
        <v>87495.529028399993</v>
      </c>
      <c r="AB31" s="470" t="str">
        <f t="shared" si="43"/>
        <v>Y</v>
      </c>
      <c r="AC31" s="469">
        <f t="shared" si="44"/>
        <v>89245.439608967994</v>
      </c>
      <c r="AD31" s="470" t="str">
        <f t="shared" si="45"/>
        <v>Y</v>
      </c>
      <c r="AE31" s="469">
        <f t="shared" si="46"/>
        <v>91030.348401147348</v>
      </c>
      <c r="AG31" s="446"/>
      <c r="AH31" s="446"/>
    </row>
    <row r="32" spans="2:34" s="302" customFormat="1" ht="12" outlineLevel="1" x14ac:dyDescent="0.2">
      <c r="B32" s="304"/>
      <c r="C32" s="535" t="s">
        <v>543</v>
      </c>
      <c r="D32" s="535" t="s">
        <v>544</v>
      </c>
      <c r="E32" s="618">
        <v>52000</v>
      </c>
      <c r="F32" s="537" t="s">
        <v>533</v>
      </c>
      <c r="G32" s="667"/>
      <c r="H32" s="668">
        <f t="shared" si="37"/>
        <v>0</v>
      </c>
      <c r="I32" s="538" t="s">
        <v>499</v>
      </c>
      <c r="J32" s="467">
        <f t="shared" si="31"/>
        <v>51675</v>
      </c>
      <c r="K32" s="468">
        <f t="shared" si="38"/>
        <v>51675</v>
      </c>
      <c r="L32" s="584">
        <v>1</v>
      </c>
      <c r="M32" s="584">
        <v>1</v>
      </c>
      <c r="N32" s="584">
        <v>1</v>
      </c>
      <c r="O32" s="584">
        <v>1</v>
      </c>
      <c r="P32" s="584">
        <v>1</v>
      </c>
      <c r="Q32" s="584">
        <v>1</v>
      </c>
      <c r="R32" s="584">
        <v>1</v>
      </c>
      <c r="S32" s="584">
        <v>1</v>
      </c>
      <c r="T32" s="584">
        <v>1</v>
      </c>
      <c r="U32" s="584">
        <v>1</v>
      </c>
      <c r="V32" s="584">
        <v>1</v>
      </c>
      <c r="W32" s="584">
        <v>1</v>
      </c>
      <c r="X32" s="464" t="str">
        <f t="shared" si="39"/>
        <v>Y</v>
      </c>
      <c r="Y32" s="469">
        <f t="shared" si="40"/>
        <v>52708.5</v>
      </c>
      <c r="Z32" s="470" t="str">
        <f t="shared" si="41"/>
        <v>Y</v>
      </c>
      <c r="AA32" s="469">
        <f t="shared" si="42"/>
        <v>53762.67</v>
      </c>
      <c r="AB32" s="470" t="str">
        <f t="shared" si="43"/>
        <v>Y</v>
      </c>
      <c r="AC32" s="469">
        <f t="shared" si="44"/>
        <v>54837.9234</v>
      </c>
      <c r="AD32" s="470" t="str">
        <f t="shared" si="45"/>
        <v>Y</v>
      </c>
      <c r="AE32" s="469">
        <f t="shared" si="46"/>
        <v>55934.681868</v>
      </c>
      <c r="AG32" s="446"/>
      <c r="AH32" s="446"/>
    </row>
    <row r="33" spans="2:34" s="302" customFormat="1" ht="12" outlineLevel="1" x14ac:dyDescent="0.2">
      <c r="B33" s="304"/>
      <c r="C33" s="535" t="s">
        <v>545</v>
      </c>
      <c r="D33" s="535" t="s">
        <v>546</v>
      </c>
      <c r="E33" s="618">
        <v>50000</v>
      </c>
      <c r="F33" s="537" t="s">
        <v>498</v>
      </c>
      <c r="G33" s="667"/>
      <c r="H33" s="668">
        <f>IF(COUNTA(G33)=1,K33,0)</f>
        <v>0</v>
      </c>
      <c r="I33" s="538" t="s">
        <v>499</v>
      </c>
      <c r="J33" s="467">
        <f t="shared" si="31"/>
        <v>57601.35</v>
      </c>
      <c r="K33" s="468">
        <f t="shared" si="38"/>
        <v>57601.350000000006</v>
      </c>
      <c r="L33" s="584">
        <v>1</v>
      </c>
      <c r="M33" s="584">
        <v>1</v>
      </c>
      <c r="N33" s="584">
        <v>1</v>
      </c>
      <c r="O33" s="584">
        <v>1</v>
      </c>
      <c r="P33" s="584">
        <v>1</v>
      </c>
      <c r="Q33" s="584">
        <v>1</v>
      </c>
      <c r="R33" s="584">
        <v>1</v>
      </c>
      <c r="S33" s="584">
        <v>1</v>
      </c>
      <c r="T33" s="584">
        <v>1</v>
      </c>
      <c r="U33" s="584">
        <v>1</v>
      </c>
      <c r="V33" s="584">
        <v>1</v>
      </c>
      <c r="W33" s="584">
        <v>1</v>
      </c>
      <c r="X33" s="464" t="str">
        <f t="shared" si="39"/>
        <v>Y</v>
      </c>
      <c r="Y33" s="469">
        <f t="shared" si="40"/>
        <v>58753.377</v>
      </c>
      <c r="Z33" s="470" t="str">
        <f t="shared" si="41"/>
        <v>Y</v>
      </c>
      <c r="AA33" s="469">
        <f t="shared" si="42"/>
        <v>59928.444540000004</v>
      </c>
      <c r="AB33" s="470" t="str">
        <f t="shared" si="43"/>
        <v>Y</v>
      </c>
      <c r="AC33" s="469">
        <f t="shared" si="44"/>
        <v>61127.013430800005</v>
      </c>
      <c r="AD33" s="470" t="str">
        <f t="shared" si="45"/>
        <v>Y</v>
      </c>
      <c r="AE33" s="469">
        <f t="shared" si="46"/>
        <v>62349.553699416007</v>
      </c>
      <c r="AG33" s="446"/>
      <c r="AH33" s="446"/>
    </row>
    <row r="34" spans="2:34" s="302" customFormat="1" ht="12" outlineLevel="1" x14ac:dyDescent="0.2">
      <c r="B34" s="304"/>
      <c r="C34" s="535" t="s">
        <v>547</v>
      </c>
      <c r="D34" s="535" t="s">
        <v>548</v>
      </c>
      <c r="E34" s="618">
        <v>72000</v>
      </c>
      <c r="F34" s="537" t="s">
        <v>498</v>
      </c>
      <c r="G34" s="667"/>
      <c r="H34" s="668">
        <f t="shared" ref="H34:H37" si="48">IF(COUNTA(G34)=1,K34,0)</f>
        <v>0</v>
      </c>
      <c r="I34" s="538" t="s">
        <v>499</v>
      </c>
      <c r="J34" s="467">
        <f t="shared" si="31"/>
        <v>82945.943999999989</v>
      </c>
      <c r="K34" s="468">
        <f t="shared" si="38"/>
        <v>82945.943999999989</v>
      </c>
      <c r="L34" s="584">
        <v>1</v>
      </c>
      <c r="M34" s="584">
        <v>1</v>
      </c>
      <c r="N34" s="584">
        <v>1</v>
      </c>
      <c r="O34" s="584">
        <v>1</v>
      </c>
      <c r="P34" s="584">
        <v>1</v>
      </c>
      <c r="Q34" s="584">
        <v>1</v>
      </c>
      <c r="R34" s="584">
        <v>1</v>
      </c>
      <c r="S34" s="584">
        <v>1</v>
      </c>
      <c r="T34" s="584">
        <v>1</v>
      </c>
      <c r="U34" s="584">
        <v>1</v>
      </c>
      <c r="V34" s="584">
        <v>1</v>
      </c>
      <c r="W34" s="584">
        <v>1</v>
      </c>
      <c r="X34" s="464" t="str">
        <f t="shared" si="39"/>
        <v>Y</v>
      </c>
      <c r="Y34" s="469">
        <f t="shared" si="40"/>
        <v>84604.862879999986</v>
      </c>
      <c r="Z34" s="470" t="str">
        <f t="shared" si="41"/>
        <v>Y</v>
      </c>
      <c r="AA34" s="469">
        <f t="shared" si="42"/>
        <v>86296.960137599992</v>
      </c>
      <c r="AB34" s="470" t="str">
        <f t="shared" si="43"/>
        <v>Y</v>
      </c>
      <c r="AC34" s="469">
        <f t="shared" si="44"/>
        <v>88022.899340352</v>
      </c>
      <c r="AD34" s="470" t="str">
        <f t="shared" si="45"/>
        <v>Y</v>
      </c>
      <c r="AE34" s="469">
        <f t="shared" si="46"/>
        <v>89783.357327159043</v>
      </c>
      <c r="AG34" s="446"/>
      <c r="AH34" s="446"/>
    </row>
    <row r="35" spans="2:34" s="302" customFormat="1" ht="12" outlineLevel="1" x14ac:dyDescent="0.2">
      <c r="B35" s="304"/>
      <c r="C35" s="535" t="s">
        <v>538</v>
      </c>
      <c r="D35" s="535" t="s">
        <v>549</v>
      </c>
      <c r="E35" s="618">
        <v>50000</v>
      </c>
      <c r="F35" s="537" t="s">
        <v>498</v>
      </c>
      <c r="G35" s="667"/>
      <c r="H35" s="668">
        <f t="shared" si="48"/>
        <v>0</v>
      </c>
      <c r="I35" s="538" t="s">
        <v>499</v>
      </c>
      <c r="J35" s="467">
        <f t="shared" si="31"/>
        <v>57601.35</v>
      </c>
      <c r="K35" s="468">
        <f t="shared" si="38"/>
        <v>0</v>
      </c>
      <c r="L35" s="584">
        <v>0</v>
      </c>
      <c r="M35" s="584">
        <v>0</v>
      </c>
      <c r="N35" s="584">
        <v>0</v>
      </c>
      <c r="O35" s="584">
        <v>0</v>
      </c>
      <c r="P35" s="584">
        <v>0</v>
      </c>
      <c r="Q35" s="584">
        <v>0</v>
      </c>
      <c r="R35" s="584">
        <v>0</v>
      </c>
      <c r="S35" s="584">
        <v>0</v>
      </c>
      <c r="T35" s="584">
        <v>0</v>
      </c>
      <c r="U35" s="584">
        <v>0</v>
      </c>
      <c r="V35" s="584">
        <v>0</v>
      </c>
      <c r="W35" s="584">
        <v>0</v>
      </c>
      <c r="X35" s="464" t="str">
        <f t="shared" si="39"/>
        <v>Y</v>
      </c>
      <c r="Y35" s="469">
        <f t="shared" si="40"/>
        <v>58753.377</v>
      </c>
      <c r="Z35" s="470" t="str">
        <f t="shared" si="41"/>
        <v>Y</v>
      </c>
      <c r="AA35" s="469">
        <f t="shared" si="42"/>
        <v>59928.444540000004</v>
      </c>
      <c r="AB35" s="470" t="str">
        <f t="shared" si="43"/>
        <v>Y</v>
      </c>
      <c r="AC35" s="469">
        <f t="shared" si="44"/>
        <v>61127.013430800005</v>
      </c>
      <c r="AD35" s="470" t="str">
        <f t="shared" si="45"/>
        <v>Y</v>
      </c>
      <c r="AE35" s="469">
        <f t="shared" si="46"/>
        <v>62349.553699416007</v>
      </c>
      <c r="AG35" s="446"/>
      <c r="AH35" s="446"/>
    </row>
    <row r="36" spans="2:34" s="302" customFormat="1" ht="12" outlineLevel="1" x14ac:dyDescent="0.2">
      <c r="B36" s="304"/>
      <c r="C36" s="539"/>
      <c r="D36" s="539"/>
      <c r="E36" s="627"/>
      <c r="F36" s="541"/>
      <c r="G36" s="667"/>
      <c r="H36" s="668">
        <f t="shared" si="48"/>
        <v>0</v>
      </c>
      <c r="I36" s="542"/>
      <c r="J36" s="467"/>
      <c r="K36" s="468"/>
      <c r="L36" s="585"/>
      <c r="M36" s="585"/>
      <c r="N36" s="585"/>
      <c r="O36" s="585"/>
      <c r="P36" s="585"/>
      <c r="Q36" s="585"/>
      <c r="R36" s="585"/>
      <c r="S36" s="585"/>
      <c r="T36" s="585"/>
      <c r="U36" s="585"/>
      <c r="V36" s="585"/>
      <c r="W36" s="585"/>
      <c r="X36" s="464"/>
      <c r="Y36" s="469"/>
      <c r="Z36" s="470"/>
      <c r="AA36" s="469"/>
      <c r="AB36" s="470"/>
      <c r="AC36" s="469"/>
      <c r="AD36" s="470"/>
      <c r="AE36" s="469"/>
      <c r="AG36" s="446"/>
      <c r="AH36" s="446"/>
    </row>
    <row r="37" spans="2:34" s="302" customFormat="1" ht="12" outlineLevel="1" x14ac:dyDescent="0.2">
      <c r="B37" s="304"/>
      <c r="C37" s="539"/>
      <c r="D37" s="539"/>
      <c r="E37" s="540"/>
      <c r="F37" s="541"/>
      <c r="G37" s="667"/>
      <c r="H37" s="668">
        <f t="shared" si="48"/>
        <v>0</v>
      </c>
      <c r="I37" s="542"/>
      <c r="J37" s="467"/>
      <c r="K37" s="468"/>
      <c r="L37" s="585"/>
      <c r="M37" s="585"/>
      <c r="N37" s="585"/>
      <c r="O37" s="585"/>
      <c r="P37" s="585"/>
      <c r="Q37" s="585"/>
      <c r="R37" s="585"/>
      <c r="S37" s="585"/>
      <c r="T37" s="585"/>
      <c r="U37" s="585"/>
      <c r="V37" s="585"/>
      <c r="W37" s="585"/>
      <c r="X37" s="464"/>
      <c r="Y37" s="469"/>
      <c r="Z37" s="470"/>
      <c r="AA37" s="469"/>
      <c r="AB37" s="470"/>
      <c r="AC37" s="469"/>
      <c r="AD37" s="470"/>
      <c r="AE37" s="469"/>
      <c r="AG37" s="446"/>
      <c r="AH37" s="446"/>
    </row>
    <row r="38" spans="2:34" s="302" customFormat="1" ht="6.6" customHeight="1" outlineLevel="1" x14ac:dyDescent="0.2">
      <c r="B38" s="304"/>
      <c r="C38" s="306"/>
      <c r="D38" s="306"/>
      <c r="E38" s="305"/>
      <c r="F38" s="484"/>
      <c r="G38" s="484"/>
      <c r="H38" s="484"/>
      <c r="I38" s="473"/>
      <c r="J38" s="474"/>
      <c r="K38" s="475"/>
      <c r="L38" s="586"/>
      <c r="M38" s="586"/>
      <c r="N38" s="586"/>
      <c r="O38" s="586"/>
      <c r="P38" s="586"/>
      <c r="Q38" s="586"/>
      <c r="R38" s="586"/>
      <c r="S38" s="586"/>
      <c r="T38" s="586"/>
      <c r="U38" s="586"/>
      <c r="V38" s="586"/>
      <c r="W38" s="586"/>
      <c r="X38" s="375"/>
      <c r="Y38" s="476"/>
      <c r="Z38" s="307"/>
      <c r="AA38" s="476"/>
      <c r="AB38" s="307"/>
      <c r="AC38" s="476"/>
      <c r="AD38" s="307"/>
      <c r="AE38" s="476"/>
      <c r="AG38" s="446"/>
      <c r="AH38" s="446"/>
    </row>
    <row r="39" spans="2:34" s="302" customFormat="1" ht="12" outlineLevel="1" x14ac:dyDescent="0.2">
      <c r="B39" s="304"/>
      <c r="C39" s="636" t="s">
        <v>550</v>
      </c>
      <c r="D39" s="636" t="s">
        <v>551</v>
      </c>
      <c r="E39" s="637">
        <v>80</v>
      </c>
      <c r="F39" s="638" t="s">
        <v>552</v>
      </c>
      <c r="G39" s="638"/>
      <c r="H39" s="638"/>
      <c r="I39" s="639" t="s">
        <v>517</v>
      </c>
      <c r="J39" s="640">
        <f>E39*9*5</f>
        <v>3600</v>
      </c>
      <c r="K39" s="641">
        <f>SUM(L39:W39)*80</f>
        <v>3600</v>
      </c>
      <c r="L39" s="642"/>
      <c r="M39" s="642">
        <v>9</v>
      </c>
      <c r="N39" s="642"/>
      <c r="O39" s="642">
        <v>9</v>
      </c>
      <c r="P39" s="642"/>
      <c r="Q39" s="642"/>
      <c r="R39" s="642">
        <v>9</v>
      </c>
      <c r="S39" s="642"/>
      <c r="T39" s="642"/>
      <c r="U39" s="642">
        <v>9</v>
      </c>
      <c r="V39" s="642">
        <v>9</v>
      </c>
      <c r="W39" s="642"/>
      <c r="X39" s="464" t="str">
        <f t="shared" si="33"/>
        <v>N</v>
      </c>
      <c r="Y39" s="469">
        <f>IF(J39="","",J39*(1+Y$7))</f>
        <v>3672</v>
      </c>
      <c r="Z39" s="470" t="str">
        <f t="shared" ref="Z39" si="49">IF(X39="","",X39)</f>
        <v>N</v>
      </c>
      <c r="AA39" s="469">
        <f t="shared" ref="AA39" si="50">IF(Y39="","",Y39*(1+AA$7))</f>
        <v>3745.44</v>
      </c>
      <c r="AB39" s="470" t="str">
        <f t="shared" ref="AB39" si="51">IF(Z39="","",Z39)</f>
        <v>N</v>
      </c>
      <c r="AC39" s="469">
        <f t="shared" ref="AC39" si="52">IF(AA39="","",AA39*(1+AC$7))</f>
        <v>3820.3488000000002</v>
      </c>
      <c r="AD39" s="470" t="str">
        <f t="shared" ref="AD39" si="53">IF(AB39="","",AB39)</f>
        <v>N</v>
      </c>
      <c r="AE39" s="469">
        <f t="shared" ref="AE39" si="54">IF(AC39="","",AC39*(1+AE$7))</f>
        <v>3896.7557760000004</v>
      </c>
      <c r="AG39" s="446"/>
      <c r="AH39" s="446"/>
    </row>
    <row r="40" spans="2:34" s="302" customFormat="1" ht="6.6" customHeight="1" outlineLevel="1" thickBot="1" x14ac:dyDescent="0.25">
      <c r="B40" s="304"/>
      <c r="C40" s="306"/>
      <c r="D40" s="306"/>
      <c r="E40" s="305"/>
      <c r="F40" s="484"/>
      <c r="G40" s="484"/>
      <c r="H40" s="484"/>
      <c r="I40" s="473"/>
      <c r="J40" s="474"/>
      <c r="K40" s="475"/>
      <c r="L40" s="586"/>
      <c r="M40" s="586"/>
      <c r="N40" s="586"/>
      <c r="O40" s="586"/>
      <c r="P40" s="586"/>
      <c r="Q40" s="586"/>
      <c r="R40" s="586"/>
      <c r="S40" s="586"/>
      <c r="T40" s="586"/>
      <c r="U40" s="586"/>
      <c r="V40" s="586"/>
      <c r="W40" s="586"/>
      <c r="X40" s="375"/>
      <c r="Y40" s="476"/>
      <c r="Z40" s="307"/>
      <c r="AA40" s="476"/>
      <c r="AB40" s="307"/>
      <c r="AC40" s="476"/>
      <c r="AD40" s="307"/>
      <c r="AE40" s="476"/>
      <c r="AG40" s="446"/>
      <c r="AH40" s="446"/>
    </row>
    <row r="41" spans="2:34" s="311" customFormat="1" ht="12.75" thickBot="1" x14ac:dyDescent="0.25">
      <c r="B41" s="303"/>
      <c r="C41" s="306" t="str">
        <f>C25</f>
        <v>Salaries: Other Classified/Support Staff</v>
      </c>
      <c r="D41" s="477"/>
      <c r="E41" s="478"/>
      <c r="F41" s="633">
        <v>6117</v>
      </c>
      <c r="G41" s="633"/>
      <c r="H41" s="633"/>
      <c r="I41" s="634">
        <f>COUNTIF(I27:I39,"Y")</f>
        <v>9</v>
      </c>
      <c r="J41" s="631">
        <f>SUBTOTAL(9,J26:J40)</f>
        <v>633498.63899999997</v>
      </c>
      <c r="K41" s="632">
        <f>SUBTOTAL(9,K26:K40)</f>
        <v>575897.28899999999</v>
      </c>
      <c r="L41" s="622">
        <f>SUMPRODUCT(Payroll!$J$27:$J$40,Payroll!L27:L40)/12</f>
        <v>47691.440750000002</v>
      </c>
      <c r="M41" s="622">
        <f>SUMPRODUCT(Payroll!$J$27:$J$40,Payroll!M27:M40)/12</f>
        <v>50391.440750000002</v>
      </c>
      <c r="N41" s="622">
        <f>SUMPRODUCT(Payroll!$J$27:$J$40,Payroll!N27:N40)/12</f>
        <v>47691.440750000002</v>
      </c>
      <c r="O41" s="622">
        <f>SUMPRODUCT(Payroll!$J$27:$J$40,Payroll!O27:O40)/12</f>
        <v>50391.440750000002</v>
      </c>
      <c r="P41" s="622">
        <f>SUMPRODUCT(Payroll!$J$27:$J$40,Payroll!P27:P40)/12</f>
        <v>47691.440750000002</v>
      </c>
      <c r="Q41" s="622">
        <f>SUMPRODUCT(Payroll!$J$27:$J$40,Payroll!Q27:Q40)/12</f>
        <v>47691.440750000002</v>
      </c>
      <c r="R41" s="622">
        <f>SUMPRODUCT(Payroll!$J$27:$J$40,Payroll!R27:R40)/12</f>
        <v>50391.440750000002</v>
      </c>
      <c r="S41" s="622">
        <f>SUMPRODUCT(Payroll!$J$27:$J$40,Payroll!S27:S40)/12</f>
        <v>47691.440750000002</v>
      </c>
      <c r="T41" s="622">
        <f>SUMPRODUCT(Payroll!$J$27:$J$40,Payroll!T27:T40)/12</f>
        <v>47691.440750000002</v>
      </c>
      <c r="U41" s="622">
        <f>SUMPRODUCT(Payroll!$J$27:$J$40,Payroll!U27:U40)/12</f>
        <v>50391.440750000002</v>
      </c>
      <c r="V41" s="622">
        <f>SUMPRODUCT(Payroll!$J$27:$J$40,Payroll!V27:V40)/12</f>
        <v>50391.440750000002</v>
      </c>
      <c r="W41" s="622">
        <f>SUMPRODUCT(Payroll!$J$27:$J$40,Payroll!W27:W40)/12</f>
        <v>47691.440750000002</v>
      </c>
      <c r="X41" s="479">
        <f>I41</f>
        <v>9</v>
      </c>
      <c r="Y41" s="480">
        <f>SUBTOTAL(9,Y26:Y40)</f>
        <v>646168.61177999992</v>
      </c>
      <c r="Z41" s="481">
        <f>COUNTIF(Z26:Z40,"y")</f>
        <v>9</v>
      </c>
      <c r="AA41" s="480">
        <f>SUBTOTAL(9,AA26:AA40)</f>
        <v>659091.98401559994</v>
      </c>
      <c r="AB41" s="481">
        <f>COUNTIF(AB26:AB40,"y")</f>
        <v>9</v>
      </c>
      <c r="AC41" s="480">
        <f>SUBTOTAL(9,AC26:AC40)</f>
        <v>672273.82369591203</v>
      </c>
      <c r="AD41" s="481">
        <f>COUNTIF(AD26:AD40,"y")</f>
        <v>9</v>
      </c>
      <c r="AE41" s="480">
        <f>SUBTOTAL(9,AE26:AE40)</f>
        <v>685719.30016983021</v>
      </c>
      <c r="AG41" s="482">
        <v>0.01</v>
      </c>
      <c r="AH41" s="482">
        <f>K41-AG41</f>
        <v>575897.27899999998</v>
      </c>
    </row>
    <row r="42" spans="2:34" s="302" customFormat="1" ht="12" outlineLevel="1" x14ac:dyDescent="0.2">
      <c r="B42" s="303" t="s">
        <v>47</v>
      </c>
      <c r="C42" s="311" t="s">
        <v>213</v>
      </c>
      <c r="E42" s="321"/>
      <c r="F42" s="483"/>
      <c r="G42" s="483"/>
      <c r="H42" s="483"/>
      <c r="I42" s="345"/>
      <c r="J42" s="460"/>
      <c r="K42" s="445"/>
      <c r="L42" s="580"/>
      <c r="M42" s="580"/>
      <c r="N42" s="580"/>
      <c r="O42" s="580"/>
      <c r="P42" s="580"/>
      <c r="Q42" s="580"/>
      <c r="R42" s="580"/>
      <c r="S42" s="580"/>
      <c r="T42" s="580"/>
      <c r="U42" s="580"/>
      <c r="V42" s="580"/>
      <c r="W42" s="580"/>
      <c r="X42" s="376"/>
      <c r="Z42" s="304"/>
      <c r="AB42" s="304"/>
      <c r="AD42" s="304"/>
      <c r="AG42" s="446"/>
      <c r="AH42" s="446"/>
    </row>
    <row r="43" spans="2:34" s="302" customFormat="1" ht="12" outlineLevel="1" x14ac:dyDescent="0.2">
      <c r="B43" s="304"/>
      <c r="C43" s="461" t="s">
        <v>79</v>
      </c>
      <c r="D43" s="461" t="s">
        <v>316</v>
      </c>
      <c r="E43" s="462" t="s">
        <v>317</v>
      </c>
      <c r="F43" s="485" t="s">
        <v>84</v>
      </c>
      <c r="G43" s="462" t="s">
        <v>81</v>
      </c>
      <c r="H43" s="462"/>
      <c r="I43" s="485" t="s">
        <v>84</v>
      </c>
      <c r="J43" s="450" t="str">
        <f>$J$6</f>
        <v>FY21 -Full</v>
      </c>
      <c r="K43" s="451" t="str">
        <f>$K$6</f>
        <v>FY21 -Partial</v>
      </c>
      <c r="L43" s="583" t="s">
        <v>156</v>
      </c>
      <c r="M43" s="583" t="s">
        <v>157</v>
      </c>
      <c r="N43" s="583" t="s">
        <v>158</v>
      </c>
      <c r="O43" s="583" t="s">
        <v>159</v>
      </c>
      <c r="P43" s="583" t="s">
        <v>160</v>
      </c>
      <c r="Q43" s="583" t="s">
        <v>161</v>
      </c>
      <c r="R43" s="583" t="s">
        <v>162</v>
      </c>
      <c r="S43" s="583" t="s">
        <v>163</v>
      </c>
      <c r="T43" s="583" t="s">
        <v>164</v>
      </c>
      <c r="U43" s="583" t="s">
        <v>165</v>
      </c>
      <c r="V43" s="583" t="s">
        <v>166</v>
      </c>
      <c r="W43" s="583" t="s">
        <v>167</v>
      </c>
      <c r="X43" s="658"/>
      <c r="Y43" s="465" t="str">
        <f>$X$6</f>
        <v>FY22</v>
      </c>
      <c r="Z43" s="466" t="str">
        <f>IF(X43="","",X43)</f>
        <v/>
      </c>
      <c r="AA43" s="465" t="str">
        <f>$Z$6</f>
        <v>FY23</v>
      </c>
      <c r="AB43" s="466" t="str">
        <f>IF(Z43="","",Z43)</f>
        <v/>
      </c>
      <c r="AC43" s="465" t="str">
        <f>$AB$6</f>
        <v>FY24</v>
      </c>
      <c r="AD43" s="466" t="str">
        <f>IF(AB43="","",AB43)</f>
        <v/>
      </c>
      <c r="AE43" s="465" t="str">
        <f>$AD$6</f>
        <v>FY25</v>
      </c>
      <c r="AG43" s="446"/>
      <c r="AH43" s="446"/>
    </row>
    <row r="44" spans="2:34" s="302" customFormat="1" ht="12" outlineLevel="1" x14ac:dyDescent="0.2">
      <c r="B44" s="304"/>
      <c r="C44" s="535" t="s">
        <v>553</v>
      </c>
      <c r="D44" s="535" t="s">
        <v>554</v>
      </c>
      <c r="E44" s="536">
        <v>12</v>
      </c>
      <c r="F44" s="486" t="s">
        <v>84</v>
      </c>
      <c r="G44" s="667"/>
      <c r="H44" s="668">
        <f>IF(COUNTA(G44)=1,K44,0)</f>
        <v>0</v>
      </c>
      <c r="I44" s="486" t="s">
        <v>84</v>
      </c>
      <c r="J44" s="467">
        <f>E44*20*52</f>
        <v>12480</v>
      </c>
      <c r="K44" s="468">
        <f>IF(J44="","",J44/12*SUM(L44:W44))</f>
        <v>12480</v>
      </c>
      <c r="L44" s="584">
        <v>1</v>
      </c>
      <c r="M44" s="584">
        <v>1</v>
      </c>
      <c r="N44" s="584">
        <v>1</v>
      </c>
      <c r="O44" s="584">
        <v>1</v>
      </c>
      <c r="P44" s="584">
        <v>1</v>
      </c>
      <c r="Q44" s="584">
        <v>1</v>
      </c>
      <c r="R44" s="584">
        <v>1</v>
      </c>
      <c r="S44" s="584">
        <v>1</v>
      </c>
      <c r="T44" s="584">
        <v>1</v>
      </c>
      <c r="U44" s="584">
        <v>1</v>
      </c>
      <c r="V44" s="584">
        <v>1</v>
      </c>
      <c r="W44" s="584">
        <v>1</v>
      </c>
      <c r="X44" s="464"/>
      <c r="Y44" s="469">
        <f>IF(J44="","",J44*(1+Y$7))</f>
        <v>12729.6</v>
      </c>
      <c r="Z44" s="470"/>
      <c r="AA44" s="469">
        <f>IF(Y44="","",Y44*(1+AA$7))</f>
        <v>12984.192000000001</v>
      </c>
      <c r="AB44" s="470"/>
      <c r="AC44" s="469">
        <f>IF(AA44="","",AA44*(1+AC$7))</f>
        <v>13243.875840000001</v>
      </c>
      <c r="AD44" s="470"/>
      <c r="AE44" s="469">
        <f>IF(AC44="","",AC44*(1+AE$7))</f>
        <v>13508.753356800002</v>
      </c>
      <c r="AG44" s="446"/>
      <c r="AH44" s="446"/>
    </row>
    <row r="45" spans="2:34" s="302" customFormat="1" ht="12" outlineLevel="1" x14ac:dyDescent="0.2">
      <c r="B45" s="304"/>
      <c r="C45" s="535" t="s">
        <v>555</v>
      </c>
      <c r="D45" s="535" t="s">
        <v>556</v>
      </c>
      <c r="E45" s="536">
        <v>12</v>
      </c>
      <c r="F45" s="486" t="s">
        <v>84</v>
      </c>
      <c r="G45" s="667"/>
      <c r="H45" s="668">
        <f>IF(COUNTA(G45)=1,K45,0)</f>
        <v>0</v>
      </c>
      <c r="I45" s="486" t="s">
        <v>84</v>
      </c>
      <c r="J45" s="467">
        <f>E45*20*52</f>
        <v>12480</v>
      </c>
      <c r="K45" s="468">
        <f>IF(J45="","",J45/12*SUM(L45:W45))</f>
        <v>12480</v>
      </c>
      <c r="L45" s="584">
        <v>1</v>
      </c>
      <c r="M45" s="584">
        <v>1</v>
      </c>
      <c r="N45" s="584">
        <v>1</v>
      </c>
      <c r="O45" s="584">
        <v>1</v>
      </c>
      <c r="P45" s="584">
        <v>1</v>
      </c>
      <c r="Q45" s="584">
        <v>1</v>
      </c>
      <c r="R45" s="584">
        <v>1</v>
      </c>
      <c r="S45" s="584">
        <v>1</v>
      </c>
      <c r="T45" s="584">
        <v>1</v>
      </c>
      <c r="U45" s="584">
        <v>1</v>
      </c>
      <c r="V45" s="584">
        <v>1</v>
      </c>
      <c r="W45" s="584">
        <v>1</v>
      </c>
      <c r="X45" s="464"/>
      <c r="Y45" s="469">
        <f>IF(J45="","",J45*(1+Y$7))</f>
        <v>12729.6</v>
      </c>
      <c r="Z45" s="470"/>
      <c r="AA45" s="469">
        <f>IF(Y45="","",Y45*(1+AA$7))</f>
        <v>12984.192000000001</v>
      </c>
      <c r="AB45" s="470"/>
      <c r="AC45" s="469">
        <f>IF(AA45="","",AA45*(1+AC$7))</f>
        <v>13243.875840000001</v>
      </c>
      <c r="AD45" s="470"/>
      <c r="AE45" s="469">
        <f>IF(AC45="","",AC45*(1+AE$7))</f>
        <v>13508.753356800002</v>
      </c>
      <c r="AG45" s="446"/>
      <c r="AH45" s="446"/>
    </row>
    <row r="46" spans="2:34" s="302" customFormat="1" ht="12" outlineLevel="1" x14ac:dyDescent="0.2">
      <c r="B46" s="304"/>
      <c r="C46" s="535" t="s">
        <v>538</v>
      </c>
      <c r="D46" s="535" t="s">
        <v>784</v>
      </c>
      <c r="E46" s="536">
        <v>10</v>
      </c>
      <c r="F46" s="486" t="s">
        <v>84</v>
      </c>
      <c r="G46" s="667"/>
      <c r="H46" s="668">
        <f>IF(COUNTA(G46)=1,K46,0)</f>
        <v>0</v>
      </c>
      <c r="I46" s="486" t="s">
        <v>84</v>
      </c>
      <c r="J46" s="467">
        <f>E46*20*52</f>
        <v>10400</v>
      </c>
      <c r="K46" s="468">
        <f>IF(J46="","",J46/12*SUM(L46:W46))</f>
        <v>10400</v>
      </c>
      <c r="L46" s="584">
        <v>1</v>
      </c>
      <c r="M46" s="584">
        <v>1</v>
      </c>
      <c r="N46" s="584">
        <v>1</v>
      </c>
      <c r="O46" s="584">
        <v>1</v>
      </c>
      <c r="P46" s="584">
        <v>1</v>
      </c>
      <c r="Q46" s="584">
        <v>1</v>
      </c>
      <c r="R46" s="584">
        <v>1</v>
      </c>
      <c r="S46" s="584">
        <v>1</v>
      </c>
      <c r="T46" s="584">
        <v>1</v>
      </c>
      <c r="U46" s="584">
        <v>1</v>
      </c>
      <c r="V46" s="584">
        <v>1</v>
      </c>
      <c r="W46" s="584">
        <v>1</v>
      </c>
      <c r="X46" s="464"/>
      <c r="Y46" s="469">
        <f>IF(J46="","",J46*(1+Y$7))</f>
        <v>10608</v>
      </c>
      <c r="Z46" s="470"/>
      <c r="AA46" s="469">
        <f>IF(Y46="","",Y46*(1+AA$7))</f>
        <v>10820.16</v>
      </c>
      <c r="AB46" s="470"/>
      <c r="AC46" s="469">
        <f>IF(AA46="","",AA46*(1+AC$7))</f>
        <v>11036.563200000001</v>
      </c>
      <c r="AD46" s="470"/>
      <c r="AE46" s="469">
        <f>IF(AC46="","",AC46*(1+AE$7))</f>
        <v>11257.294464000001</v>
      </c>
      <c r="AG46" s="446"/>
      <c r="AH46" s="446"/>
    </row>
    <row r="47" spans="2:34" s="302" customFormat="1" ht="6.6" customHeight="1" outlineLevel="1" thickBot="1" x14ac:dyDescent="0.25">
      <c r="B47" s="304"/>
      <c r="C47" s="306"/>
      <c r="D47" s="306"/>
      <c r="E47" s="305"/>
      <c r="F47" s="484"/>
      <c r="G47" s="484"/>
      <c r="H47" s="484"/>
      <c r="I47" s="473"/>
      <c r="J47" s="474"/>
      <c r="K47" s="475"/>
      <c r="L47" s="586"/>
      <c r="M47" s="586"/>
      <c r="N47" s="586"/>
      <c r="O47" s="586"/>
      <c r="P47" s="586"/>
      <c r="Q47" s="586"/>
      <c r="R47" s="586"/>
      <c r="S47" s="586"/>
      <c r="T47" s="586"/>
      <c r="U47" s="586"/>
      <c r="V47" s="586"/>
      <c r="W47" s="586"/>
      <c r="X47" s="375"/>
      <c r="Y47" s="476"/>
      <c r="Z47" s="307"/>
      <c r="AA47" s="476"/>
      <c r="AB47" s="307"/>
      <c r="AC47" s="476"/>
      <c r="AD47" s="307"/>
      <c r="AE47" s="476"/>
      <c r="AG47" s="446"/>
      <c r="AH47" s="446"/>
    </row>
    <row r="48" spans="2:34" s="311" customFormat="1" ht="12.75" thickBot="1" x14ac:dyDescent="0.25">
      <c r="B48" s="303"/>
      <c r="C48" s="306" t="str">
        <f>C42</f>
        <v>Temp Salaries: Other Classified/Support Staff</v>
      </c>
      <c r="D48" s="477"/>
      <c r="E48" s="478"/>
      <c r="F48" s="633">
        <v>6127</v>
      </c>
      <c r="G48" s="633"/>
      <c r="H48" s="633"/>
      <c r="I48" s="634"/>
      <c r="J48" s="631">
        <f>SUBTOTAL(9,J43:J47)</f>
        <v>35360</v>
      </c>
      <c r="K48" s="632">
        <f>SUBTOTAL(9,K43:K47)</f>
        <v>35360</v>
      </c>
      <c r="L48" s="622">
        <f>SUMPRODUCT(Payroll!$J$44:$J$47,Payroll!L44:L47)/12</f>
        <v>2946.6666666666665</v>
      </c>
      <c r="M48" s="622">
        <f>SUMPRODUCT(Payroll!$J$44:$J$47,Payroll!M44:M47)/12</f>
        <v>2946.6666666666665</v>
      </c>
      <c r="N48" s="622">
        <f>SUMPRODUCT(Payroll!$J$44:$J$47,Payroll!N44:N47)/12</f>
        <v>2946.6666666666665</v>
      </c>
      <c r="O48" s="622">
        <f>SUMPRODUCT(Payroll!$J$44:$J$47,Payroll!O44:O47)/12</f>
        <v>2946.6666666666665</v>
      </c>
      <c r="P48" s="622">
        <f>SUMPRODUCT(Payroll!$J$44:$J$47,Payroll!P44:P47)/12</f>
        <v>2946.6666666666665</v>
      </c>
      <c r="Q48" s="622">
        <f>SUMPRODUCT(Payroll!$J$44:$J$47,Payroll!Q44:Q47)/12</f>
        <v>2946.6666666666665</v>
      </c>
      <c r="R48" s="622">
        <f>SUMPRODUCT(Payroll!$J$44:$J$47,Payroll!R44:R47)/12</f>
        <v>2946.6666666666665</v>
      </c>
      <c r="S48" s="622">
        <f>SUMPRODUCT(Payroll!$J$44:$J$47,Payroll!S44:S47)/12</f>
        <v>2946.6666666666665</v>
      </c>
      <c r="T48" s="622">
        <f>SUMPRODUCT(Payroll!$J$44:$J$47,Payroll!T44:T47)/12</f>
        <v>2946.6666666666665</v>
      </c>
      <c r="U48" s="622">
        <f>SUMPRODUCT(Payroll!$J$44:$J$47,Payroll!U44:U47)/12</f>
        <v>2946.6666666666665</v>
      </c>
      <c r="V48" s="622">
        <f>SUMPRODUCT(Payroll!$J$44:$J$47,Payroll!V44:V47)/12</f>
        <v>2946.6666666666665</v>
      </c>
      <c r="W48" s="622">
        <f>SUMPRODUCT(Payroll!$J$44:$J$47,Payroll!W44:W47)/12</f>
        <v>2946.6666666666665</v>
      </c>
      <c r="X48" s="479"/>
      <c r="Y48" s="480">
        <f>SUBTOTAL(9,Y43:Y47)</f>
        <v>36067.199999999997</v>
      </c>
      <c r="Z48" s="481"/>
      <c r="AA48" s="480">
        <f>SUBTOTAL(9,AA43:AA47)</f>
        <v>36788.544000000002</v>
      </c>
      <c r="AB48" s="481"/>
      <c r="AC48" s="480">
        <f>SUBTOTAL(9,AC43:AC47)</f>
        <v>37524.314880000005</v>
      </c>
      <c r="AD48" s="481"/>
      <c r="AE48" s="480">
        <f>SUBTOTAL(9,AE43:AE47)</f>
        <v>38274.801177600006</v>
      </c>
      <c r="AG48" s="482">
        <v>0.01</v>
      </c>
      <c r="AH48" s="482">
        <f>K48-AG48</f>
        <v>35359.99</v>
      </c>
    </row>
    <row r="49" spans="2:34" s="302" customFormat="1" ht="12" outlineLevel="1" x14ac:dyDescent="0.2">
      <c r="B49" s="303" t="s">
        <v>48</v>
      </c>
      <c r="C49" s="311" t="s">
        <v>319</v>
      </c>
      <c r="E49" s="321"/>
      <c r="F49" s="483"/>
      <c r="G49" s="483"/>
      <c r="H49" s="483"/>
      <c r="I49" s="345"/>
      <c r="J49" s="460"/>
      <c r="K49" s="445"/>
      <c r="L49" s="580"/>
      <c r="M49" s="580"/>
      <c r="N49" s="580"/>
      <c r="O49" s="580"/>
      <c r="P49" s="580"/>
      <c r="Q49" s="580"/>
      <c r="R49" s="580"/>
      <c r="S49" s="580"/>
      <c r="T49" s="580"/>
      <c r="U49" s="580"/>
      <c r="V49" s="580"/>
      <c r="W49" s="580"/>
      <c r="X49" s="376"/>
      <c r="Z49" s="304"/>
      <c r="AB49" s="304"/>
      <c r="AD49" s="304"/>
      <c r="AG49" s="446"/>
      <c r="AH49" s="446"/>
    </row>
    <row r="50" spans="2:34" s="302" customFormat="1" ht="12" outlineLevel="1" x14ac:dyDescent="0.2">
      <c r="B50" s="304"/>
      <c r="C50" s="461" t="s">
        <v>79</v>
      </c>
      <c r="D50" s="461" t="s">
        <v>80</v>
      </c>
      <c r="E50" s="462" t="s">
        <v>322</v>
      </c>
      <c r="F50" s="487" t="s">
        <v>84</v>
      </c>
      <c r="G50" s="462" t="s">
        <v>81</v>
      </c>
      <c r="H50" s="462"/>
      <c r="I50" s="487" t="s">
        <v>84</v>
      </c>
      <c r="J50" s="450" t="str">
        <f>$J$6</f>
        <v>FY21 -Full</v>
      </c>
      <c r="K50" s="451" t="str">
        <f>$K$6</f>
        <v>FY21 -Partial</v>
      </c>
      <c r="L50" s="583" t="s">
        <v>156</v>
      </c>
      <c r="M50" s="583" t="s">
        <v>157</v>
      </c>
      <c r="N50" s="583" t="s">
        <v>158</v>
      </c>
      <c r="O50" s="583" t="s">
        <v>159</v>
      </c>
      <c r="P50" s="583" t="s">
        <v>160</v>
      </c>
      <c r="Q50" s="583" t="s">
        <v>161</v>
      </c>
      <c r="R50" s="583" t="s">
        <v>162</v>
      </c>
      <c r="S50" s="583" t="s">
        <v>163</v>
      </c>
      <c r="T50" s="583" t="s">
        <v>164</v>
      </c>
      <c r="U50" s="583" t="s">
        <v>165</v>
      </c>
      <c r="V50" s="583" t="s">
        <v>166</v>
      </c>
      <c r="W50" s="583" t="s">
        <v>167</v>
      </c>
      <c r="X50" s="658"/>
      <c r="Y50" s="465" t="str">
        <f>$X$6</f>
        <v>FY22</v>
      </c>
      <c r="Z50" s="466" t="str">
        <f>IF(X50="","",X50)</f>
        <v/>
      </c>
      <c r="AA50" s="465" t="str">
        <f>$Z$6</f>
        <v>FY23</v>
      </c>
      <c r="AB50" s="466" t="str">
        <f>IF(Z50="","",Z50)</f>
        <v/>
      </c>
      <c r="AC50" s="465" t="str">
        <f>$AB$6</f>
        <v>FY24</v>
      </c>
      <c r="AD50" s="466" t="str">
        <f>IF(AB50="","",AB50)</f>
        <v/>
      </c>
      <c r="AE50" s="465" t="str">
        <f>$AD$6</f>
        <v>FY25</v>
      </c>
      <c r="AG50" s="446"/>
      <c r="AH50" s="446"/>
    </row>
    <row r="51" spans="2:34" s="302" customFormat="1" ht="12" outlineLevel="1" x14ac:dyDescent="0.2">
      <c r="B51" s="304"/>
      <c r="C51" s="535"/>
      <c r="D51" s="535"/>
      <c r="E51" s="536"/>
      <c r="F51" s="486"/>
      <c r="G51" s="667"/>
      <c r="H51" s="668"/>
      <c r="I51" s="486"/>
      <c r="J51" s="467">
        <f>E51*SUM(L51:W51)</f>
        <v>0</v>
      </c>
      <c r="K51" s="468">
        <f t="shared" ref="K51:K52" si="55">E51*SUM(L51:W51)</f>
        <v>0</v>
      </c>
      <c r="L51" s="584"/>
      <c r="M51" s="584"/>
      <c r="N51" s="584"/>
      <c r="O51" s="584"/>
      <c r="P51" s="584"/>
      <c r="Q51" s="584"/>
      <c r="R51" s="584"/>
      <c r="S51" s="584"/>
      <c r="T51" s="584"/>
      <c r="U51" s="584"/>
      <c r="V51" s="584"/>
      <c r="W51" s="584"/>
      <c r="X51" s="464"/>
      <c r="Y51" s="469">
        <f>IF(J51="","",J51*(1+Y$7))</f>
        <v>0</v>
      </c>
      <c r="Z51" s="470"/>
      <c r="AA51" s="469">
        <f>IF(Y51="","",Y51*(1+AA$7))</f>
        <v>0</v>
      </c>
      <c r="AB51" s="470"/>
      <c r="AC51" s="469">
        <f>IF(AA51="","",AA51*(1+AC$7))</f>
        <v>0</v>
      </c>
      <c r="AD51" s="470"/>
      <c r="AE51" s="469">
        <f>IF(AC51="","",AC51*(1+AE$7))</f>
        <v>0</v>
      </c>
      <c r="AG51" s="446"/>
      <c r="AH51" s="446"/>
    </row>
    <row r="52" spans="2:34" s="302" customFormat="1" ht="12" outlineLevel="1" x14ac:dyDescent="0.2">
      <c r="B52" s="304"/>
      <c r="C52" s="539"/>
      <c r="D52" s="539"/>
      <c r="E52" s="540"/>
      <c r="F52" s="486"/>
      <c r="G52" s="667"/>
      <c r="H52" s="668"/>
      <c r="I52" s="486"/>
      <c r="J52" s="467">
        <f>E52*SUM(L52:W52)</f>
        <v>0</v>
      </c>
      <c r="K52" s="468">
        <f t="shared" si="55"/>
        <v>0</v>
      </c>
      <c r="L52" s="585"/>
      <c r="M52" s="585"/>
      <c r="N52" s="585"/>
      <c r="O52" s="585"/>
      <c r="P52" s="585"/>
      <c r="Q52" s="585"/>
      <c r="R52" s="585"/>
      <c r="S52" s="585"/>
      <c r="T52" s="585"/>
      <c r="U52" s="585"/>
      <c r="V52" s="585"/>
      <c r="W52" s="585"/>
      <c r="X52" s="464"/>
      <c r="Y52" s="469">
        <f t="shared" ref="Y52" si="56">IF(J52="","",J52*(1+Y$7))</f>
        <v>0</v>
      </c>
      <c r="Z52" s="470"/>
      <c r="AA52" s="469">
        <f t="shared" ref="AA52" si="57">IF(Y52="","",Y52*(1+AA$7))</f>
        <v>0</v>
      </c>
      <c r="AB52" s="470"/>
      <c r="AC52" s="469">
        <f t="shared" ref="AC52" si="58">IF(AA52="","",AA52*(1+AC$7))</f>
        <v>0</v>
      </c>
      <c r="AD52" s="470"/>
      <c r="AE52" s="469">
        <f t="shared" ref="AE52" si="59">IF(AC52="","",AC52*(1+AE$7))</f>
        <v>0</v>
      </c>
      <c r="AG52" s="446"/>
      <c r="AH52" s="446"/>
    </row>
    <row r="53" spans="2:34" s="302" customFormat="1" ht="6.6" customHeight="1" outlineLevel="1" thickBot="1" x14ac:dyDescent="0.25">
      <c r="B53" s="304"/>
      <c r="C53" s="306"/>
      <c r="D53" s="306"/>
      <c r="E53" s="305"/>
      <c r="F53" s="484"/>
      <c r="G53" s="484"/>
      <c r="H53" s="484"/>
      <c r="I53" s="473"/>
      <c r="J53" s="474"/>
      <c r="K53" s="475"/>
      <c r="L53" s="586"/>
      <c r="M53" s="586"/>
      <c r="N53" s="586"/>
      <c r="O53" s="586"/>
      <c r="P53" s="586"/>
      <c r="Q53" s="586"/>
      <c r="R53" s="586"/>
      <c r="S53" s="586"/>
      <c r="T53" s="586"/>
      <c r="U53" s="586"/>
      <c r="V53" s="586"/>
      <c r="W53" s="586"/>
      <c r="X53" s="375"/>
      <c r="Y53" s="476"/>
      <c r="Z53" s="307"/>
      <c r="AA53" s="476"/>
      <c r="AB53" s="307"/>
      <c r="AC53" s="476"/>
      <c r="AD53" s="307"/>
      <c r="AE53" s="476"/>
      <c r="AG53" s="446"/>
      <c r="AH53" s="446"/>
    </row>
    <row r="54" spans="2:34" s="311" customFormat="1" ht="12.75" thickBot="1" x14ac:dyDescent="0.25">
      <c r="B54" s="303"/>
      <c r="C54" s="306" t="str">
        <f>C49</f>
        <v xml:space="preserve">Performance Incentives: Teachers </v>
      </c>
      <c r="D54" s="477"/>
      <c r="E54" s="478"/>
      <c r="F54" s="633">
        <v>6151</v>
      </c>
      <c r="G54" s="633"/>
      <c r="H54" s="633"/>
      <c r="I54" s="634"/>
      <c r="J54" s="631">
        <f>SUBTOTAL(9,J50:J53)</f>
        <v>0</v>
      </c>
      <c r="K54" s="632">
        <f>SUBTOTAL(9,K50:K53)</f>
        <v>0</v>
      </c>
      <c r="L54" s="622">
        <f>SUMPRODUCT(Payroll!$E$51:$E$53,Payroll!L51:L53)</f>
        <v>0</v>
      </c>
      <c r="M54" s="622">
        <f>SUMPRODUCT(Payroll!$E$51:$E$53,Payroll!M51:M53)</f>
        <v>0</v>
      </c>
      <c r="N54" s="622">
        <f>SUMPRODUCT(Payroll!$E$51:$E$53,Payroll!N51:N53)</f>
        <v>0</v>
      </c>
      <c r="O54" s="622">
        <f>SUMPRODUCT(Payroll!$E$51:$E$53,Payroll!O51:O53)</f>
        <v>0</v>
      </c>
      <c r="P54" s="622">
        <f>SUMPRODUCT(Payroll!$E$51:$E$53,Payroll!P51:P53)</f>
        <v>0</v>
      </c>
      <c r="Q54" s="622">
        <f>SUMPRODUCT(Payroll!$E$51:$E$53,Payroll!Q51:Q53)</f>
        <v>0</v>
      </c>
      <c r="R54" s="622">
        <f>SUMPRODUCT(Payroll!$E$51:$E$53,Payroll!R51:R53)</f>
        <v>0</v>
      </c>
      <c r="S54" s="622">
        <f>SUMPRODUCT(Payroll!$E$51:$E$53,Payroll!S51:S53)</f>
        <v>0</v>
      </c>
      <c r="T54" s="622">
        <f>SUMPRODUCT(Payroll!$E$51:$E$53,Payroll!T51:T53)</f>
        <v>0</v>
      </c>
      <c r="U54" s="622">
        <f>SUMPRODUCT(Payroll!$E$51:$E$53,Payroll!U51:U53)</f>
        <v>0</v>
      </c>
      <c r="V54" s="622">
        <f>SUMPRODUCT(Payroll!$E$51:$E$53,Payroll!V51:V53)</f>
        <v>0</v>
      </c>
      <c r="W54" s="622">
        <f>SUMPRODUCT(Payroll!$E$51:$E$53,Payroll!W51:W53)</f>
        <v>0</v>
      </c>
      <c r="X54" s="479">
        <f>I54</f>
        <v>0</v>
      </c>
      <c r="Y54" s="480">
        <f>SUBTOTAL(9,Y50:Y53)</f>
        <v>0</v>
      </c>
      <c r="Z54" s="481">
        <f>COUNTIF(Z50:Z53,"y")</f>
        <v>0</v>
      </c>
      <c r="AA54" s="480">
        <f>SUBTOTAL(9,AA50:AA53)</f>
        <v>0</v>
      </c>
      <c r="AB54" s="481">
        <f>COUNTIF(AB50:AB53,"y")</f>
        <v>0</v>
      </c>
      <c r="AC54" s="480">
        <f>SUBTOTAL(9,AC50:AC53)</f>
        <v>0</v>
      </c>
      <c r="AD54" s="481">
        <f>COUNTIF(AD50:AD53,"y")</f>
        <v>0</v>
      </c>
      <c r="AE54" s="480">
        <f>SUBTOTAL(9,AE50:AE53)</f>
        <v>0</v>
      </c>
      <c r="AG54" s="482">
        <v>0.01</v>
      </c>
      <c r="AH54" s="482">
        <f>K54-AG54</f>
        <v>-0.01</v>
      </c>
    </row>
    <row r="55" spans="2:34" s="302" customFormat="1" ht="12" outlineLevel="1" x14ac:dyDescent="0.2">
      <c r="B55" s="303" t="s">
        <v>49</v>
      </c>
      <c r="C55" s="311" t="s">
        <v>320</v>
      </c>
      <c r="E55" s="321"/>
      <c r="F55" s="483"/>
      <c r="G55" s="483"/>
      <c r="H55" s="483"/>
      <c r="I55" s="345"/>
      <c r="J55" s="460"/>
      <c r="K55" s="445"/>
      <c r="L55" s="580"/>
      <c r="M55" s="580"/>
      <c r="N55" s="580"/>
      <c r="O55" s="580"/>
      <c r="P55" s="580"/>
      <c r="Q55" s="580"/>
      <c r="R55" s="580"/>
      <c r="S55" s="580"/>
      <c r="T55" s="580"/>
      <c r="U55" s="580"/>
      <c r="V55" s="580"/>
      <c r="W55" s="580"/>
      <c r="X55" s="376"/>
      <c r="Z55" s="304"/>
      <c r="AB55" s="304"/>
      <c r="AD55" s="304"/>
      <c r="AG55" s="446"/>
      <c r="AH55" s="446"/>
    </row>
    <row r="56" spans="2:34" s="302" customFormat="1" ht="12" outlineLevel="1" x14ac:dyDescent="0.2">
      <c r="B56" s="304"/>
      <c r="C56" s="461" t="s">
        <v>79</v>
      </c>
      <c r="D56" s="461" t="s">
        <v>80</v>
      </c>
      <c r="E56" s="462" t="s">
        <v>322</v>
      </c>
      <c r="F56" s="487" t="s">
        <v>84</v>
      </c>
      <c r="G56" s="462" t="s">
        <v>81</v>
      </c>
      <c r="H56" s="462"/>
      <c r="I56" s="487" t="s">
        <v>84</v>
      </c>
      <c r="J56" s="450" t="str">
        <f>$J$6</f>
        <v>FY21 -Full</v>
      </c>
      <c r="K56" s="451" t="str">
        <f>$K$6</f>
        <v>FY21 -Partial</v>
      </c>
      <c r="L56" s="583" t="s">
        <v>156</v>
      </c>
      <c r="M56" s="583" t="s">
        <v>157</v>
      </c>
      <c r="N56" s="583" t="s">
        <v>158</v>
      </c>
      <c r="O56" s="583" t="s">
        <v>159</v>
      </c>
      <c r="P56" s="583" t="s">
        <v>160</v>
      </c>
      <c r="Q56" s="583" t="s">
        <v>161</v>
      </c>
      <c r="R56" s="583" t="s">
        <v>162</v>
      </c>
      <c r="S56" s="583" t="s">
        <v>163</v>
      </c>
      <c r="T56" s="583" t="s">
        <v>164</v>
      </c>
      <c r="U56" s="583" t="s">
        <v>165</v>
      </c>
      <c r="V56" s="583" t="s">
        <v>166</v>
      </c>
      <c r="W56" s="583" t="s">
        <v>167</v>
      </c>
      <c r="X56" s="658"/>
      <c r="Y56" s="465" t="str">
        <f>$X$6</f>
        <v>FY22</v>
      </c>
      <c r="Z56" s="466" t="str">
        <f>IF(X56="","",X56)</f>
        <v/>
      </c>
      <c r="AA56" s="465" t="str">
        <f>$Z$6</f>
        <v>FY23</v>
      </c>
      <c r="AB56" s="466" t="str">
        <f>IF(Z56="","",Z56)</f>
        <v/>
      </c>
      <c r="AC56" s="465" t="str">
        <f>$AB$6</f>
        <v>FY24</v>
      </c>
      <c r="AD56" s="466" t="str">
        <f>IF(AB56="","",AB56)</f>
        <v/>
      </c>
      <c r="AE56" s="465" t="str">
        <f>$AD$6</f>
        <v>FY25</v>
      </c>
      <c r="AG56" s="446"/>
      <c r="AH56" s="446"/>
    </row>
    <row r="57" spans="2:34" s="302" customFormat="1" ht="12" outlineLevel="1" x14ac:dyDescent="0.2">
      <c r="B57" s="304"/>
      <c r="C57" s="535" t="s">
        <v>524</v>
      </c>
      <c r="D57" s="535" t="s">
        <v>525</v>
      </c>
      <c r="E57" s="618">
        <v>8000</v>
      </c>
      <c r="F57" s="486" t="s">
        <v>84</v>
      </c>
      <c r="G57" s="667"/>
      <c r="H57" s="668">
        <f>IF(COUNTA(G57)=1,K57,0)</f>
        <v>0</v>
      </c>
      <c r="I57" s="486" t="s">
        <v>84</v>
      </c>
      <c r="J57" s="467">
        <f>E57*SUM(L57:W57)</f>
        <v>8000</v>
      </c>
      <c r="K57" s="468">
        <f>E57*SUM(L57:W57)</f>
        <v>8000</v>
      </c>
      <c r="L57" s="584"/>
      <c r="M57" s="584"/>
      <c r="N57" s="584"/>
      <c r="O57" s="584"/>
      <c r="P57" s="584"/>
      <c r="Q57" s="584"/>
      <c r="R57" s="584"/>
      <c r="S57" s="584"/>
      <c r="T57" s="584"/>
      <c r="U57" s="584"/>
      <c r="V57" s="584"/>
      <c r="W57" s="584">
        <v>1</v>
      </c>
      <c r="X57" s="464"/>
      <c r="Y57" s="469">
        <f>IF(J57="","",J57*(1+Y$7))</f>
        <v>8160</v>
      </c>
      <c r="Z57" s="470"/>
      <c r="AA57" s="469">
        <f>IF(Y57="","",Y57*(1+AA$7))</f>
        <v>8323.2000000000007</v>
      </c>
      <c r="AB57" s="470"/>
      <c r="AC57" s="469">
        <f>IF(AA57="","",AA57*(1+AC$7))</f>
        <v>8489.6640000000007</v>
      </c>
      <c r="AD57" s="470"/>
      <c r="AE57" s="469">
        <f>IF(AC57="","",AC57*(1+AE$7))</f>
        <v>8659.4572800000005</v>
      </c>
      <c r="AG57" s="446"/>
      <c r="AH57" s="446"/>
    </row>
    <row r="58" spans="2:34" s="302" customFormat="1" ht="12" outlineLevel="1" x14ac:dyDescent="0.2">
      <c r="B58" s="304"/>
      <c r="C58" s="535" t="s">
        <v>526</v>
      </c>
      <c r="D58" s="535" t="s">
        <v>527</v>
      </c>
      <c r="E58" s="618">
        <v>3500</v>
      </c>
      <c r="F58" s="486"/>
      <c r="G58" s="667"/>
      <c r="H58" s="668">
        <f t="shared" ref="H58" si="60">IF(COUNTA(G58)=1,K58,0)</f>
        <v>0</v>
      </c>
      <c r="I58" s="486"/>
      <c r="J58" s="467">
        <f t="shared" ref="J58:J59" si="61">E58*SUM(L58:W58)</f>
        <v>3500</v>
      </c>
      <c r="K58" s="468">
        <f t="shared" ref="K58:K59" si="62">E58*SUM(L58:W58)</f>
        <v>3500</v>
      </c>
      <c r="L58" s="584"/>
      <c r="M58" s="584"/>
      <c r="N58" s="584"/>
      <c r="O58" s="584"/>
      <c r="P58" s="584"/>
      <c r="Q58" s="584"/>
      <c r="R58" s="584"/>
      <c r="S58" s="584"/>
      <c r="T58" s="584"/>
      <c r="U58" s="584"/>
      <c r="V58" s="584"/>
      <c r="W58" s="584">
        <v>1</v>
      </c>
      <c r="X58" s="464"/>
      <c r="Y58" s="469"/>
      <c r="Z58" s="470"/>
      <c r="AA58" s="469"/>
      <c r="AB58" s="470"/>
      <c r="AC58" s="469"/>
      <c r="AD58" s="470"/>
      <c r="AE58" s="469"/>
      <c r="AG58" s="446"/>
      <c r="AH58" s="446"/>
    </row>
    <row r="59" spans="2:34" s="302" customFormat="1" ht="12" outlineLevel="1" x14ac:dyDescent="0.2">
      <c r="B59" s="304"/>
      <c r="C59" s="535" t="s">
        <v>528</v>
      </c>
      <c r="D59" s="535" t="s">
        <v>529</v>
      </c>
      <c r="E59" s="618">
        <v>750</v>
      </c>
      <c r="F59" s="486"/>
      <c r="G59" s="667"/>
      <c r="H59" s="668">
        <f t="shared" ref="H59:H64" si="63">IF(COUNTA(G59)=1,K59,0)</f>
        <v>0</v>
      </c>
      <c r="I59" s="486"/>
      <c r="J59" s="467">
        <f t="shared" si="61"/>
        <v>3000</v>
      </c>
      <c r="K59" s="468">
        <f t="shared" si="62"/>
        <v>3000</v>
      </c>
      <c r="L59" s="584"/>
      <c r="M59" s="584"/>
      <c r="N59" s="584"/>
      <c r="O59" s="584"/>
      <c r="P59" s="584">
        <v>1</v>
      </c>
      <c r="Q59" s="584">
        <v>1</v>
      </c>
      <c r="R59" s="584">
        <v>1</v>
      </c>
      <c r="S59" s="584">
        <v>1</v>
      </c>
      <c r="T59" s="584"/>
      <c r="U59" s="584"/>
      <c r="V59" s="584"/>
      <c r="W59" s="584"/>
      <c r="X59" s="464"/>
      <c r="Y59" s="469"/>
      <c r="Z59" s="470"/>
      <c r="AA59" s="469"/>
      <c r="AB59" s="470"/>
      <c r="AC59" s="469"/>
      <c r="AD59" s="470"/>
      <c r="AE59" s="469"/>
      <c r="AG59" s="446"/>
      <c r="AH59" s="446"/>
    </row>
    <row r="60" spans="2:34" s="302" customFormat="1" ht="12" outlineLevel="1" x14ac:dyDescent="0.2">
      <c r="B60" s="304"/>
      <c r="C60" s="535" t="s">
        <v>528</v>
      </c>
      <c r="D60" s="535" t="s">
        <v>529</v>
      </c>
      <c r="E60" s="618">
        <v>4000</v>
      </c>
      <c r="F60" s="486"/>
      <c r="G60" s="667"/>
      <c r="H60" s="668">
        <f t="shared" si="63"/>
        <v>0</v>
      </c>
      <c r="I60" s="486"/>
      <c r="J60" s="467">
        <f t="shared" ref="J60:J65" si="64">E60*SUM(L60:W60)</f>
        <v>4000</v>
      </c>
      <c r="K60" s="468">
        <f t="shared" ref="K60:K65" si="65">E60*SUM(L60:W60)</f>
        <v>4000</v>
      </c>
      <c r="L60" s="584"/>
      <c r="M60" s="584"/>
      <c r="N60" s="584"/>
      <c r="O60" s="584"/>
      <c r="P60" s="584"/>
      <c r="Q60" s="584"/>
      <c r="R60" s="584"/>
      <c r="S60" s="584"/>
      <c r="T60" s="584"/>
      <c r="U60" s="584"/>
      <c r="V60" s="584"/>
      <c r="W60" s="584">
        <v>1</v>
      </c>
      <c r="X60" s="464"/>
      <c r="Y60" s="469"/>
      <c r="Z60" s="470"/>
      <c r="AA60" s="469"/>
      <c r="AB60" s="470"/>
      <c r="AC60" s="469"/>
      <c r="AD60" s="470"/>
      <c r="AE60" s="469"/>
      <c r="AG60" s="446"/>
      <c r="AH60" s="446"/>
    </row>
    <row r="61" spans="2:34" s="302" customFormat="1" ht="12" outlineLevel="1" x14ac:dyDescent="0.2">
      <c r="B61" s="304"/>
      <c r="C61" s="535" t="s">
        <v>530</v>
      </c>
      <c r="D61" s="535" t="s">
        <v>531</v>
      </c>
      <c r="E61" s="618">
        <v>750</v>
      </c>
      <c r="F61" s="486"/>
      <c r="G61" s="667"/>
      <c r="H61" s="668">
        <f t="shared" si="63"/>
        <v>0</v>
      </c>
      <c r="I61" s="486"/>
      <c r="J61" s="467">
        <f t="shared" si="64"/>
        <v>750</v>
      </c>
      <c r="K61" s="468">
        <f t="shared" si="65"/>
        <v>750</v>
      </c>
      <c r="L61" s="584"/>
      <c r="M61" s="584"/>
      <c r="N61" s="584"/>
      <c r="O61" s="584"/>
      <c r="P61" s="584"/>
      <c r="Q61" s="584"/>
      <c r="R61" s="584"/>
      <c r="S61" s="584"/>
      <c r="T61" s="584"/>
      <c r="U61" s="584"/>
      <c r="V61" s="584">
        <v>1</v>
      </c>
      <c r="W61" s="584"/>
      <c r="X61" s="464"/>
      <c r="Y61" s="469"/>
      <c r="Z61" s="470"/>
      <c r="AA61" s="469"/>
      <c r="AB61" s="470"/>
      <c r="AC61" s="469"/>
      <c r="AD61" s="470"/>
      <c r="AE61" s="469"/>
      <c r="AG61" s="446"/>
      <c r="AH61" s="446"/>
    </row>
    <row r="62" spans="2:34" s="302" customFormat="1" ht="12" outlineLevel="1" x14ac:dyDescent="0.2">
      <c r="B62" s="304"/>
      <c r="C62" s="535" t="s">
        <v>530</v>
      </c>
      <c r="D62" s="535" t="s">
        <v>531</v>
      </c>
      <c r="E62" s="618">
        <v>4000</v>
      </c>
      <c r="F62" s="486"/>
      <c r="G62" s="667"/>
      <c r="H62" s="668">
        <f>IF(COUNTA(G62)=1,K62,0)</f>
        <v>0</v>
      </c>
      <c r="I62" s="486"/>
      <c r="J62" s="467">
        <f t="shared" si="64"/>
        <v>4000</v>
      </c>
      <c r="K62" s="468">
        <f>E62*SUM(L62:W62)</f>
        <v>4000</v>
      </c>
      <c r="L62" s="584"/>
      <c r="M62" s="584"/>
      <c r="N62" s="584"/>
      <c r="O62" s="584"/>
      <c r="P62" s="584"/>
      <c r="Q62" s="584"/>
      <c r="R62" s="584"/>
      <c r="S62" s="584"/>
      <c r="T62" s="584"/>
      <c r="U62" s="584"/>
      <c r="V62" s="584"/>
      <c r="W62" s="584">
        <v>1</v>
      </c>
      <c r="X62" s="464"/>
      <c r="Y62" s="469"/>
      <c r="Z62" s="470"/>
      <c r="AA62" s="469"/>
      <c r="AB62" s="470"/>
      <c r="AC62" s="469"/>
      <c r="AD62" s="470"/>
      <c r="AE62" s="469"/>
      <c r="AG62" s="446"/>
      <c r="AH62" s="446"/>
    </row>
    <row r="63" spans="2:34" s="302" customFormat="1" ht="12" outlineLevel="1" x14ac:dyDescent="0.2">
      <c r="B63" s="304"/>
      <c r="C63" s="535" t="s">
        <v>524</v>
      </c>
      <c r="D63" s="535" t="s">
        <v>532</v>
      </c>
      <c r="E63" s="618">
        <v>2500</v>
      </c>
      <c r="F63" s="486"/>
      <c r="G63" s="667"/>
      <c r="H63" s="668">
        <f t="shared" si="63"/>
        <v>0</v>
      </c>
      <c r="I63" s="486"/>
      <c r="J63" s="467">
        <f t="shared" ref="J63:J64" si="66">E63*SUM(L63:W63)</f>
        <v>2500</v>
      </c>
      <c r="K63" s="468">
        <f t="shared" ref="K63" si="67">E63*SUM(L63:W63)</f>
        <v>2500</v>
      </c>
      <c r="L63" s="584"/>
      <c r="M63" s="584"/>
      <c r="N63" s="584"/>
      <c r="O63" s="584"/>
      <c r="P63" s="584"/>
      <c r="Q63" s="584"/>
      <c r="R63" s="584"/>
      <c r="S63" s="584"/>
      <c r="T63" s="584"/>
      <c r="U63" s="584"/>
      <c r="V63" s="584"/>
      <c r="W63" s="584">
        <v>1</v>
      </c>
      <c r="X63" s="464"/>
      <c r="Y63" s="469"/>
      <c r="Z63" s="470"/>
      <c r="AA63" s="469"/>
      <c r="AB63" s="470"/>
      <c r="AC63" s="469"/>
      <c r="AD63" s="470"/>
      <c r="AE63" s="469"/>
      <c r="AG63" s="446"/>
      <c r="AH63" s="446"/>
    </row>
    <row r="64" spans="2:34" s="302" customFormat="1" ht="12" outlineLevel="1" x14ac:dyDescent="0.2">
      <c r="B64" s="304"/>
      <c r="C64" s="535" t="s">
        <v>526</v>
      </c>
      <c r="D64" s="535" t="s">
        <v>532</v>
      </c>
      <c r="E64" s="618">
        <v>2500</v>
      </c>
      <c r="F64" s="486"/>
      <c r="G64" s="667"/>
      <c r="H64" s="668">
        <f t="shared" si="63"/>
        <v>0</v>
      </c>
      <c r="I64" s="486"/>
      <c r="J64" s="467">
        <f t="shared" si="66"/>
        <v>2500</v>
      </c>
      <c r="K64" s="468">
        <f>E64*SUM(L64:W64)</f>
        <v>2500</v>
      </c>
      <c r="L64" s="584"/>
      <c r="M64" s="584"/>
      <c r="N64" s="584"/>
      <c r="O64" s="584"/>
      <c r="P64" s="584"/>
      <c r="Q64" s="584"/>
      <c r="R64" s="584"/>
      <c r="S64" s="584"/>
      <c r="T64" s="584"/>
      <c r="U64" s="584"/>
      <c r="V64" s="584"/>
      <c r="W64" s="584">
        <v>1</v>
      </c>
      <c r="X64" s="464"/>
      <c r="Y64" s="469"/>
      <c r="Z64" s="470"/>
      <c r="AA64" s="469"/>
      <c r="AB64" s="470"/>
      <c r="AC64" s="469"/>
      <c r="AD64" s="470"/>
      <c r="AE64" s="469"/>
      <c r="AG64" s="446"/>
      <c r="AH64" s="446"/>
    </row>
    <row r="65" spans="2:34" s="302" customFormat="1" ht="12" outlineLevel="1" x14ac:dyDescent="0.2">
      <c r="B65" s="304"/>
      <c r="C65" s="539"/>
      <c r="D65" s="539"/>
      <c r="E65" s="540"/>
      <c r="F65" s="486"/>
      <c r="G65" s="667"/>
      <c r="H65" s="668"/>
      <c r="I65" s="486"/>
      <c r="J65" s="467">
        <f t="shared" si="64"/>
        <v>0</v>
      </c>
      <c r="K65" s="468">
        <f t="shared" si="65"/>
        <v>0</v>
      </c>
      <c r="L65" s="585"/>
      <c r="M65" s="585"/>
      <c r="N65" s="585"/>
      <c r="O65" s="585"/>
      <c r="P65" s="585"/>
      <c r="Q65" s="585"/>
      <c r="R65" s="585"/>
      <c r="S65" s="585"/>
      <c r="T65" s="585"/>
      <c r="U65" s="585"/>
      <c r="V65" s="585"/>
      <c r="W65" s="585"/>
      <c r="X65" s="464"/>
      <c r="Y65" s="469">
        <f t="shared" ref="Y65" si="68">IF(J65="","",J65*(1+Y$7))</f>
        <v>0</v>
      </c>
      <c r="Z65" s="470"/>
      <c r="AA65" s="469">
        <f t="shared" ref="AA65" si="69">IF(Y65="","",Y65*(1+AA$7))</f>
        <v>0</v>
      </c>
      <c r="AB65" s="470"/>
      <c r="AC65" s="469">
        <f t="shared" ref="AC65" si="70">IF(AA65="","",AA65*(1+AC$7))</f>
        <v>0</v>
      </c>
      <c r="AD65" s="470"/>
      <c r="AE65" s="469">
        <f t="shared" ref="AE65" si="71">IF(AC65="","",AC65*(1+AE$7))</f>
        <v>0</v>
      </c>
      <c r="AG65" s="446"/>
      <c r="AH65" s="446"/>
    </row>
    <row r="66" spans="2:34" s="302" customFormat="1" ht="6.6" customHeight="1" outlineLevel="1" thickBot="1" x14ac:dyDescent="0.25">
      <c r="B66" s="304"/>
      <c r="C66" s="306"/>
      <c r="D66" s="306"/>
      <c r="E66" s="305"/>
      <c r="F66" s="484"/>
      <c r="G66" s="484"/>
      <c r="H66" s="484"/>
      <c r="I66" s="473"/>
      <c r="J66" s="474"/>
      <c r="K66" s="475"/>
      <c r="L66" s="586"/>
      <c r="M66" s="586"/>
      <c r="N66" s="586"/>
      <c r="O66" s="586"/>
      <c r="P66" s="586"/>
      <c r="Q66" s="586"/>
      <c r="R66" s="586"/>
      <c r="S66" s="586"/>
      <c r="T66" s="586"/>
      <c r="U66" s="586"/>
      <c r="V66" s="586"/>
      <c r="W66" s="586"/>
      <c r="X66" s="375"/>
      <c r="Y66" s="476"/>
      <c r="Z66" s="307"/>
      <c r="AA66" s="476"/>
      <c r="AB66" s="307"/>
      <c r="AC66" s="476"/>
      <c r="AD66" s="307"/>
      <c r="AE66" s="476"/>
      <c r="AG66" s="446"/>
      <c r="AH66" s="446"/>
    </row>
    <row r="67" spans="2:34" s="311" customFormat="1" ht="12.75" thickBot="1" x14ac:dyDescent="0.25">
      <c r="B67" s="303"/>
      <c r="C67" s="306" t="str">
        <f>C55</f>
        <v xml:space="preserve">Performance Incentives: Licensed Admin </v>
      </c>
      <c r="D67" s="477"/>
      <c r="E67" s="478"/>
      <c r="F67" s="633">
        <v>6154</v>
      </c>
      <c r="G67" s="633"/>
      <c r="H67" s="633"/>
      <c r="I67" s="634"/>
      <c r="J67" s="631">
        <f>SUBTOTAL(9,J56:J66)</f>
        <v>28250</v>
      </c>
      <c r="K67" s="632">
        <f>SUBTOTAL(9,K56:K66)</f>
        <v>28250</v>
      </c>
      <c r="L67" s="622">
        <f>SUMPRODUCT(Payroll!$E$57:$E$66,Payroll!L57:L66)</f>
        <v>0</v>
      </c>
      <c r="M67" s="622">
        <f>SUMPRODUCT(Payroll!$E$57:$E$66,Payroll!M57:M66)</f>
        <v>0</v>
      </c>
      <c r="N67" s="622">
        <f>SUMPRODUCT(Payroll!$E$57:$E$66,Payroll!N57:N66)</f>
        <v>0</v>
      </c>
      <c r="O67" s="622">
        <f>SUMPRODUCT(Payroll!$E$57:$E$66,Payroll!O57:O66)</f>
        <v>0</v>
      </c>
      <c r="P67" s="622">
        <f>SUMPRODUCT(Payroll!$E$57:$E$66,Payroll!P57:P66)</f>
        <v>750</v>
      </c>
      <c r="Q67" s="622">
        <f>SUMPRODUCT(Payroll!$E$57:$E$66,Payroll!Q57:Q66)</f>
        <v>750</v>
      </c>
      <c r="R67" s="622">
        <f>SUMPRODUCT(Payroll!$E$57:$E$66,Payroll!R57:R66)</f>
        <v>750</v>
      </c>
      <c r="S67" s="622">
        <f>SUMPRODUCT(Payroll!$E$57:$E$66,Payroll!S57:S66)</f>
        <v>750</v>
      </c>
      <c r="T67" s="622">
        <f>SUMPRODUCT(Payroll!$E$57:$E$66,Payroll!T57:T66)</f>
        <v>0</v>
      </c>
      <c r="U67" s="622">
        <f>SUMPRODUCT(Payroll!$E$57:$E$66,Payroll!U57:U66)</f>
        <v>0</v>
      </c>
      <c r="V67" s="622">
        <f>SUMPRODUCT(Payroll!$E$57:$E$66,Payroll!V57:V66)</f>
        <v>750</v>
      </c>
      <c r="W67" s="622">
        <f>SUMPRODUCT(Payroll!$E$57:$E$66,Payroll!W57:W66)</f>
        <v>24500</v>
      </c>
      <c r="X67" s="464"/>
      <c r="Y67" s="545">
        <f>SUBTOTAL(9,Y56:Y66)</f>
        <v>8160</v>
      </c>
      <c r="Z67" s="546"/>
      <c r="AA67" s="545">
        <f>SUBTOTAL(9,AA56:AA66)</f>
        <v>8323.2000000000007</v>
      </c>
      <c r="AB67" s="546"/>
      <c r="AC67" s="545">
        <f>SUBTOTAL(9,AC56:AC66)</f>
        <v>8489.6640000000007</v>
      </c>
      <c r="AD67" s="546"/>
      <c r="AE67" s="545">
        <f>SUBTOTAL(9,AE56:AE66)</f>
        <v>8659.4572800000005</v>
      </c>
      <c r="AG67" s="482">
        <v>0.01</v>
      </c>
      <c r="AH67" s="482">
        <f>K67-AG67</f>
        <v>28249.99</v>
      </c>
    </row>
    <row r="68" spans="2:34" s="302" customFormat="1" ht="12" outlineLevel="1" x14ac:dyDescent="0.2">
      <c r="B68" s="303" t="s">
        <v>50</v>
      </c>
      <c r="C68" s="311" t="s">
        <v>321</v>
      </c>
      <c r="E68" s="321"/>
      <c r="F68" s="483"/>
      <c r="G68" s="483"/>
      <c r="H68" s="483"/>
      <c r="I68" s="345"/>
      <c r="J68" s="460"/>
      <c r="K68" s="445"/>
      <c r="L68" s="580"/>
      <c r="M68" s="580"/>
      <c r="N68" s="580"/>
      <c r="O68" s="580"/>
      <c r="P68" s="580"/>
      <c r="Q68" s="580"/>
      <c r="R68" s="580"/>
      <c r="S68" s="580"/>
      <c r="T68" s="580"/>
      <c r="U68" s="580"/>
      <c r="V68" s="580"/>
      <c r="W68" s="580"/>
      <c r="X68" s="376"/>
      <c r="Z68" s="304"/>
      <c r="AB68" s="304"/>
      <c r="AD68" s="304"/>
      <c r="AG68" s="446"/>
      <c r="AH68" s="446"/>
    </row>
    <row r="69" spans="2:34" s="302" customFormat="1" ht="12" outlineLevel="1" x14ac:dyDescent="0.2">
      <c r="B69" s="304"/>
      <c r="C69" s="461" t="s">
        <v>79</v>
      </c>
      <c r="D69" s="461" t="s">
        <v>80</v>
      </c>
      <c r="E69" s="462" t="s">
        <v>322</v>
      </c>
      <c r="F69" s="487" t="s">
        <v>84</v>
      </c>
      <c r="G69" s="462" t="s">
        <v>81</v>
      </c>
      <c r="H69" s="462"/>
      <c r="I69" s="487" t="s">
        <v>84</v>
      </c>
      <c r="J69" s="450" t="str">
        <f>$J$6</f>
        <v>FY21 -Full</v>
      </c>
      <c r="K69" s="451" t="str">
        <f>$K$6</f>
        <v>FY21 -Partial</v>
      </c>
      <c r="L69" s="583" t="s">
        <v>156</v>
      </c>
      <c r="M69" s="583" t="s">
        <v>157</v>
      </c>
      <c r="N69" s="583" t="s">
        <v>158</v>
      </c>
      <c r="O69" s="583" t="s">
        <v>159</v>
      </c>
      <c r="P69" s="583" t="s">
        <v>160</v>
      </c>
      <c r="Q69" s="583" t="s">
        <v>161</v>
      </c>
      <c r="R69" s="583" t="s">
        <v>162</v>
      </c>
      <c r="S69" s="583" t="s">
        <v>163</v>
      </c>
      <c r="T69" s="583" t="s">
        <v>164</v>
      </c>
      <c r="U69" s="583" t="s">
        <v>165</v>
      </c>
      <c r="V69" s="583" t="s">
        <v>166</v>
      </c>
      <c r="W69" s="583" t="s">
        <v>167</v>
      </c>
      <c r="X69" s="658"/>
      <c r="Y69" s="465" t="str">
        <f>$X$6</f>
        <v>FY22</v>
      </c>
      <c r="Z69" s="466" t="str">
        <f>IF(X69="","",X69)</f>
        <v/>
      </c>
      <c r="AA69" s="465" t="str">
        <f>$Z$6</f>
        <v>FY23</v>
      </c>
      <c r="AB69" s="466" t="str">
        <f>IF(Z69="","",Z69)</f>
        <v/>
      </c>
      <c r="AC69" s="465" t="str">
        <f>$AB$6</f>
        <v>FY24</v>
      </c>
      <c r="AD69" s="466" t="str">
        <f>IF(AB69="","",AB69)</f>
        <v/>
      </c>
      <c r="AE69" s="465" t="str">
        <f>$AD$6</f>
        <v>FY25</v>
      </c>
      <c r="AG69" s="446"/>
      <c r="AH69" s="446"/>
    </row>
    <row r="70" spans="2:34" s="302" customFormat="1" ht="12" outlineLevel="1" x14ac:dyDescent="0.2">
      <c r="B70" s="304"/>
      <c r="C70" s="535" t="s">
        <v>534</v>
      </c>
      <c r="D70" s="535" t="s">
        <v>535</v>
      </c>
      <c r="E70" s="618">
        <v>963</v>
      </c>
      <c r="F70" s="486" t="s">
        <v>84</v>
      </c>
      <c r="G70" s="667"/>
      <c r="H70" s="668">
        <f>IF(COUNTA(G70)=1,K70,0)</f>
        <v>0</v>
      </c>
      <c r="I70" s="486" t="s">
        <v>84</v>
      </c>
      <c r="J70" s="467">
        <f t="shared" ref="J70:J81" si="72">E70*SUM(L70:W70)</f>
        <v>7704</v>
      </c>
      <c r="K70" s="468">
        <f t="shared" ref="K70:K81" si="73">E70*SUM(L70:W70)</f>
        <v>7704</v>
      </c>
      <c r="L70" s="584"/>
      <c r="M70" s="584"/>
      <c r="N70" s="584">
        <v>1</v>
      </c>
      <c r="O70" s="584">
        <v>1</v>
      </c>
      <c r="P70" s="584">
        <v>1</v>
      </c>
      <c r="Q70" s="584">
        <v>1</v>
      </c>
      <c r="R70" s="584">
        <v>1</v>
      </c>
      <c r="S70" s="584">
        <v>1</v>
      </c>
      <c r="T70" s="584">
        <v>1</v>
      </c>
      <c r="U70" s="584">
        <v>1</v>
      </c>
      <c r="V70" s="584"/>
      <c r="W70" s="584"/>
      <c r="X70" s="464"/>
      <c r="Y70" s="469">
        <f t="shared" ref="Y70" si="74">IF(J70="","",J70*(1+Y$7))</f>
        <v>7858.08</v>
      </c>
      <c r="Z70" s="470"/>
      <c r="AA70" s="469">
        <f t="shared" ref="AA70" si="75">IF(Y70="","",Y70*(1+AA$7))</f>
        <v>8015.2416000000003</v>
      </c>
      <c r="AB70" s="470"/>
      <c r="AC70" s="469">
        <f t="shared" ref="AC70" si="76">IF(AA70="","",AA70*(1+AC$7))</f>
        <v>8175.5464320000001</v>
      </c>
      <c r="AD70" s="470"/>
      <c r="AE70" s="469">
        <f t="shared" ref="AE70" si="77">IF(AC70="","",AC70*(1+AE$7))</f>
        <v>8339.0573606399994</v>
      </c>
      <c r="AG70" s="446"/>
      <c r="AH70" s="446"/>
    </row>
    <row r="71" spans="2:34" s="302" customFormat="1" ht="12" outlineLevel="1" x14ac:dyDescent="0.2">
      <c r="B71" s="304"/>
      <c r="C71" s="535" t="s">
        <v>536</v>
      </c>
      <c r="D71" s="535" t="s">
        <v>537</v>
      </c>
      <c r="E71" s="618">
        <v>840</v>
      </c>
      <c r="F71" s="486" t="s">
        <v>84</v>
      </c>
      <c r="G71" s="667"/>
      <c r="H71" s="668">
        <f t="shared" ref="H71:H72" si="78">IF(COUNTA(G71)=1,K71,0)</f>
        <v>0</v>
      </c>
      <c r="I71" s="486" t="s">
        <v>84</v>
      </c>
      <c r="J71" s="467">
        <f t="shared" si="72"/>
        <v>4200</v>
      </c>
      <c r="K71" s="468">
        <f t="shared" si="73"/>
        <v>4200</v>
      </c>
      <c r="L71" s="584"/>
      <c r="M71" s="584"/>
      <c r="N71" s="584">
        <v>1</v>
      </c>
      <c r="O71" s="584">
        <v>1</v>
      </c>
      <c r="P71" s="584">
        <v>1</v>
      </c>
      <c r="Q71" s="584"/>
      <c r="R71" s="584"/>
      <c r="S71" s="584"/>
      <c r="T71" s="584">
        <v>1</v>
      </c>
      <c r="U71" s="584"/>
      <c r="V71" s="584">
        <v>1</v>
      </c>
      <c r="W71" s="584"/>
      <c r="X71" s="464"/>
      <c r="Y71" s="469"/>
      <c r="Z71" s="470"/>
      <c r="AA71" s="469"/>
      <c r="AB71" s="470"/>
      <c r="AC71" s="469"/>
      <c r="AD71" s="470"/>
      <c r="AE71" s="469"/>
      <c r="AG71" s="446"/>
      <c r="AH71" s="446"/>
    </row>
    <row r="72" spans="2:34" s="302" customFormat="1" ht="12" outlineLevel="1" x14ac:dyDescent="0.2">
      <c r="B72" s="304"/>
      <c r="C72" s="535" t="s">
        <v>538</v>
      </c>
      <c r="D72" s="535" t="s">
        <v>539</v>
      </c>
      <c r="E72" s="618">
        <v>750</v>
      </c>
      <c r="F72" s="486" t="s">
        <v>84</v>
      </c>
      <c r="G72" s="667"/>
      <c r="H72" s="668">
        <f t="shared" si="78"/>
        <v>0</v>
      </c>
      <c r="I72" s="486" t="s">
        <v>84</v>
      </c>
      <c r="J72" s="467">
        <f t="shared" si="72"/>
        <v>0</v>
      </c>
      <c r="K72" s="468">
        <f t="shared" si="73"/>
        <v>0</v>
      </c>
      <c r="L72" s="584"/>
      <c r="M72" s="584"/>
      <c r="N72" s="584"/>
      <c r="O72" s="584"/>
      <c r="P72" s="584"/>
      <c r="Q72" s="584"/>
      <c r="R72" s="584"/>
      <c r="S72" s="584"/>
      <c r="T72" s="584"/>
      <c r="U72" s="584"/>
      <c r="V72" s="584"/>
      <c r="W72" s="584"/>
      <c r="X72" s="464"/>
      <c r="Y72" s="469"/>
      <c r="Z72" s="470"/>
      <c r="AA72" s="469"/>
      <c r="AB72" s="470"/>
      <c r="AC72" s="469"/>
      <c r="AD72" s="470"/>
      <c r="AE72" s="469"/>
      <c r="AG72" s="446"/>
      <c r="AH72" s="446"/>
    </row>
    <row r="73" spans="2:34" s="302" customFormat="1" ht="12" outlineLevel="1" x14ac:dyDescent="0.2">
      <c r="B73" s="304"/>
      <c r="C73" s="535" t="s">
        <v>538</v>
      </c>
      <c r="D73" s="535" t="s">
        <v>540</v>
      </c>
      <c r="E73" s="618">
        <v>750</v>
      </c>
      <c r="F73" s="486" t="s">
        <v>84</v>
      </c>
      <c r="G73" s="667"/>
      <c r="H73" s="668">
        <f t="shared" ref="H73:H81" si="79">IF(COUNTA(G73)=1,K73,0)</f>
        <v>0</v>
      </c>
      <c r="I73" s="486" t="s">
        <v>84</v>
      </c>
      <c r="J73" s="467">
        <f t="shared" si="72"/>
        <v>3000</v>
      </c>
      <c r="K73" s="468">
        <f t="shared" si="73"/>
        <v>3000</v>
      </c>
      <c r="L73" s="584"/>
      <c r="M73" s="584"/>
      <c r="N73" s="584">
        <v>1</v>
      </c>
      <c r="O73" s="584"/>
      <c r="P73" s="584">
        <v>1</v>
      </c>
      <c r="Q73" s="584"/>
      <c r="R73" s="584"/>
      <c r="S73" s="584"/>
      <c r="T73" s="584">
        <v>1</v>
      </c>
      <c r="U73" s="584"/>
      <c r="V73" s="584">
        <v>1</v>
      </c>
      <c r="W73" s="584"/>
      <c r="X73" s="464"/>
      <c r="Y73" s="469"/>
      <c r="Z73" s="470"/>
      <c r="AA73" s="469"/>
      <c r="AB73" s="470"/>
      <c r="AC73" s="469"/>
      <c r="AD73" s="470"/>
      <c r="AE73" s="469"/>
      <c r="AG73" s="446"/>
      <c r="AH73" s="446"/>
    </row>
    <row r="74" spans="2:34" s="302" customFormat="1" ht="12" outlineLevel="1" x14ac:dyDescent="0.2">
      <c r="B74" s="304"/>
      <c r="C74" s="535" t="s">
        <v>541</v>
      </c>
      <c r="D74" s="535" t="s">
        <v>542</v>
      </c>
      <c r="E74" s="618">
        <v>963</v>
      </c>
      <c r="F74" s="486" t="s">
        <v>84</v>
      </c>
      <c r="G74" s="667"/>
      <c r="H74" s="668">
        <f t="shared" si="79"/>
        <v>0</v>
      </c>
      <c r="I74" s="486" t="s">
        <v>84</v>
      </c>
      <c r="J74" s="467">
        <f t="shared" si="72"/>
        <v>7704</v>
      </c>
      <c r="K74" s="468">
        <f t="shared" si="73"/>
        <v>7704</v>
      </c>
      <c r="L74" s="584"/>
      <c r="M74" s="584"/>
      <c r="N74" s="584">
        <v>1</v>
      </c>
      <c r="O74" s="584">
        <v>1</v>
      </c>
      <c r="P74" s="584">
        <v>1</v>
      </c>
      <c r="Q74" s="584">
        <v>1</v>
      </c>
      <c r="R74" s="584">
        <v>1</v>
      </c>
      <c r="S74" s="584">
        <v>1</v>
      </c>
      <c r="T74" s="584">
        <v>1</v>
      </c>
      <c r="U74" s="584">
        <v>1</v>
      </c>
      <c r="V74" s="584"/>
      <c r="W74" s="584"/>
      <c r="X74" s="464"/>
      <c r="Y74" s="469"/>
      <c r="Z74" s="470"/>
      <c r="AA74" s="469"/>
      <c r="AB74" s="470"/>
      <c r="AC74" s="469"/>
      <c r="AD74" s="470"/>
      <c r="AE74" s="469"/>
      <c r="AG74" s="446"/>
      <c r="AH74" s="446"/>
    </row>
    <row r="75" spans="2:34" s="302" customFormat="1" ht="12" outlineLevel="1" x14ac:dyDescent="0.2">
      <c r="B75" s="304"/>
      <c r="C75" s="535" t="s">
        <v>543</v>
      </c>
      <c r="D75" s="535" t="s">
        <v>544</v>
      </c>
      <c r="E75" s="618">
        <v>840</v>
      </c>
      <c r="F75" s="486" t="s">
        <v>84</v>
      </c>
      <c r="G75" s="667"/>
      <c r="H75" s="668">
        <f t="shared" si="79"/>
        <v>0</v>
      </c>
      <c r="I75" s="486" t="s">
        <v>84</v>
      </c>
      <c r="J75" s="467">
        <f t="shared" si="72"/>
        <v>4200</v>
      </c>
      <c r="K75" s="468">
        <f t="shared" si="73"/>
        <v>4200</v>
      </c>
      <c r="L75" s="584"/>
      <c r="M75" s="584"/>
      <c r="N75" s="584">
        <v>1</v>
      </c>
      <c r="O75" s="584"/>
      <c r="P75" s="584">
        <v>1</v>
      </c>
      <c r="Q75" s="584"/>
      <c r="R75" s="584">
        <v>1</v>
      </c>
      <c r="S75" s="584"/>
      <c r="T75" s="584">
        <v>1</v>
      </c>
      <c r="U75" s="584"/>
      <c r="V75" s="584">
        <v>1</v>
      </c>
      <c r="W75" s="584"/>
      <c r="X75" s="464"/>
      <c r="Y75" s="469"/>
      <c r="Z75" s="470"/>
      <c r="AA75" s="469"/>
      <c r="AB75" s="470"/>
      <c r="AC75" s="469"/>
      <c r="AD75" s="470"/>
      <c r="AE75" s="469"/>
      <c r="AG75" s="446"/>
      <c r="AH75" s="446"/>
    </row>
    <row r="76" spans="2:34" s="302" customFormat="1" ht="12" outlineLevel="1" x14ac:dyDescent="0.2">
      <c r="B76" s="304"/>
      <c r="C76" s="535" t="s">
        <v>545</v>
      </c>
      <c r="D76" s="535" t="s">
        <v>546</v>
      </c>
      <c r="E76" s="618">
        <v>840</v>
      </c>
      <c r="F76" s="486" t="s">
        <v>84</v>
      </c>
      <c r="G76" s="667"/>
      <c r="H76" s="668">
        <f t="shared" si="79"/>
        <v>0</v>
      </c>
      <c r="I76" s="486" t="s">
        <v>84</v>
      </c>
      <c r="J76" s="467">
        <f t="shared" si="72"/>
        <v>4200</v>
      </c>
      <c r="K76" s="468">
        <f t="shared" si="73"/>
        <v>4200</v>
      </c>
      <c r="L76" s="584"/>
      <c r="M76" s="584">
        <v>1</v>
      </c>
      <c r="N76" s="584"/>
      <c r="O76" s="584">
        <v>1</v>
      </c>
      <c r="P76" s="584">
        <v>1</v>
      </c>
      <c r="Q76" s="584"/>
      <c r="R76" s="584"/>
      <c r="S76" s="584"/>
      <c r="T76" s="584"/>
      <c r="U76" s="584">
        <v>1</v>
      </c>
      <c r="V76" s="584">
        <v>1</v>
      </c>
      <c r="W76" s="584"/>
      <c r="X76" s="464"/>
      <c r="Y76" s="469"/>
      <c r="Z76" s="470"/>
      <c r="AA76" s="469"/>
      <c r="AB76" s="470"/>
      <c r="AC76" s="469"/>
      <c r="AD76" s="470"/>
      <c r="AE76" s="469"/>
      <c r="AG76" s="446"/>
      <c r="AH76" s="446"/>
    </row>
    <row r="77" spans="2:34" s="302" customFormat="1" ht="12" outlineLevel="1" x14ac:dyDescent="0.2">
      <c r="B77" s="304"/>
      <c r="C77" s="535" t="s">
        <v>547</v>
      </c>
      <c r="D77" s="535" t="s">
        <v>548</v>
      </c>
      <c r="E77" s="618">
        <v>840</v>
      </c>
      <c r="F77" s="486" t="s">
        <v>84</v>
      </c>
      <c r="G77" s="667"/>
      <c r="H77" s="668">
        <f t="shared" si="79"/>
        <v>0</v>
      </c>
      <c r="I77" s="486" t="s">
        <v>84</v>
      </c>
      <c r="J77" s="467">
        <f t="shared" si="72"/>
        <v>4200</v>
      </c>
      <c r="K77" s="468">
        <f t="shared" si="73"/>
        <v>4200</v>
      </c>
      <c r="L77" s="584"/>
      <c r="M77" s="584">
        <v>1</v>
      </c>
      <c r="N77" s="584"/>
      <c r="O77" s="584">
        <v>1</v>
      </c>
      <c r="P77" s="584"/>
      <c r="Q77" s="584">
        <v>1</v>
      </c>
      <c r="R77" s="584"/>
      <c r="S77" s="584"/>
      <c r="T77" s="584"/>
      <c r="U77" s="584">
        <v>1</v>
      </c>
      <c r="V77" s="584">
        <v>1</v>
      </c>
      <c r="W77" s="584"/>
      <c r="X77" s="464"/>
      <c r="Y77" s="469"/>
      <c r="Z77" s="470"/>
      <c r="AA77" s="469"/>
      <c r="AB77" s="470"/>
      <c r="AC77" s="469"/>
      <c r="AD77" s="470"/>
      <c r="AE77" s="469"/>
      <c r="AG77" s="446"/>
      <c r="AH77" s="446"/>
    </row>
    <row r="78" spans="2:34" s="302" customFormat="1" ht="12" outlineLevel="1" x14ac:dyDescent="0.2">
      <c r="B78" s="304"/>
      <c r="C78" s="535" t="s">
        <v>538</v>
      </c>
      <c r="D78" s="535" t="s">
        <v>549</v>
      </c>
      <c r="E78" s="618">
        <v>750</v>
      </c>
      <c r="F78" s="486" t="s">
        <v>84</v>
      </c>
      <c r="G78" s="667"/>
      <c r="H78" s="668">
        <f t="shared" si="79"/>
        <v>0</v>
      </c>
      <c r="I78" s="486" t="s">
        <v>84</v>
      </c>
      <c r="J78" s="467">
        <f t="shared" si="72"/>
        <v>0</v>
      </c>
      <c r="K78" s="468">
        <f t="shared" si="73"/>
        <v>0</v>
      </c>
      <c r="L78" s="584"/>
      <c r="M78" s="584"/>
      <c r="N78" s="584"/>
      <c r="O78" s="584"/>
      <c r="P78" s="584"/>
      <c r="Q78" s="584"/>
      <c r="R78" s="584"/>
      <c r="S78" s="584"/>
      <c r="T78" s="584"/>
      <c r="U78" s="584"/>
      <c r="V78" s="584"/>
      <c r="W78" s="584"/>
      <c r="X78" s="464"/>
      <c r="Y78" s="469"/>
      <c r="Z78" s="470"/>
      <c r="AA78" s="469"/>
      <c r="AB78" s="470"/>
      <c r="AC78" s="469"/>
      <c r="AD78" s="470"/>
      <c r="AE78" s="469"/>
      <c r="AG78" s="446"/>
      <c r="AH78" s="446"/>
    </row>
    <row r="79" spans="2:34" s="302" customFormat="1" ht="12" outlineLevel="1" x14ac:dyDescent="0.2">
      <c r="B79" s="304"/>
      <c r="C79" s="535"/>
      <c r="D79" s="535"/>
      <c r="E79" s="618"/>
      <c r="F79" s="486" t="s">
        <v>84</v>
      </c>
      <c r="G79" s="667"/>
      <c r="H79" s="668">
        <f t="shared" si="79"/>
        <v>0</v>
      </c>
      <c r="I79" s="486" t="s">
        <v>84</v>
      </c>
      <c r="J79" s="467">
        <f t="shared" si="72"/>
        <v>0</v>
      </c>
      <c r="K79" s="468">
        <f t="shared" si="73"/>
        <v>0</v>
      </c>
      <c r="L79" s="584"/>
      <c r="M79" s="584"/>
      <c r="N79" s="584"/>
      <c r="O79" s="584"/>
      <c r="P79" s="584"/>
      <c r="Q79" s="584"/>
      <c r="R79" s="584"/>
      <c r="S79" s="584"/>
      <c r="T79" s="584"/>
      <c r="U79" s="584"/>
      <c r="V79" s="584"/>
      <c r="W79" s="584"/>
      <c r="X79" s="464"/>
      <c r="Y79" s="469"/>
      <c r="Z79" s="470"/>
      <c r="AA79" s="469"/>
      <c r="AB79" s="470"/>
      <c r="AC79" s="469"/>
      <c r="AD79" s="470"/>
      <c r="AE79" s="469"/>
      <c r="AG79" s="446"/>
      <c r="AH79" s="446"/>
    </row>
    <row r="80" spans="2:34" s="302" customFormat="1" ht="12" outlineLevel="1" x14ac:dyDescent="0.2">
      <c r="B80" s="304"/>
      <c r="C80" s="539"/>
      <c r="D80" s="539"/>
      <c r="E80" s="540"/>
      <c r="F80" s="486" t="s">
        <v>84</v>
      </c>
      <c r="G80" s="667"/>
      <c r="H80" s="668">
        <f t="shared" ref="H80" si="80">IF(COUNTA(G80)=1,K80,0)</f>
        <v>0</v>
      </c>
      <c r="I80" s="486" t="s">
        <v>84</v>
      </c>
      <c r="J80" s="467">
        <f t="shared" ref="J80" si="81">E80*SUM(L80:W80)</f>
        <v>0</v>
      </c>
      <c r="K80" s="468">
        <f t="shared" ref="K80" si="82">E80*SUM(L80:W80)</f>
        <v>0</v>
      </c>
      <c r="L80" s="585"/>
      <c r="M80" s="585"/>
      <c r="N80" s="585"/>
      <c r="O80" s="585"/>
      <c r="P80" s="585"/>
      <c r="Q80" s="585"/>
      <c r="R80" s="585"/>
      <c r="S80" s="585"/>
      <c r="T80" s="585"/>
      <c r="U80" s="585"/>
      <c r="V80" s="585"/>
      <c r="W80" s="585"/>
      <c r="X80" s="464"/>
      <c r="Y80" s="469"/>
      <c r="Z80" s="470"/>
      <c r="AA80" s="469"/>
      <c r="AB80" s="470"/>
      <c r="AC80" s="469"/>
      <c r="AD80" s="470"/>
      <c r="AE80" s="469"/>
      <c r="AG80" s="446"/>
      <c r="AH80" s="446"/>
    </row>
    <row r="81" spans="2:34" s="302" customFormat="1" ht="12" outlineLevel="1" x14ac:dyDescent="0.2">
      <c r="B81" s="304"/>
      <c r="C81" s="539"/>
      <c r="D81" s="539"/>
      <c r="E81" s="540"/>
      <c r="F81" s="486" t="s">
        <v>84</v>
      </c>
      <c r="G81" s="667"/>
      <c r="H81" s="668">
        <f t="shared" si="79"/>
        <v>0</v>
      </c>
      <c r="I81" s="486" t="s">
        <v>84</v>
      </c>
      <c r="J81" s="467">
        <f t="shared" si="72"/>
        <v>0</v>
      </c>
      <c r="K81" s="468">
        <f t="shared" si="73"/>
        <v>0</v>
      </c>
      <c r="L81" s="585"/>
      <c r="M81" s="585"/>
      <c r="N81" s="585"/>
      <c r="O81" s="585"/>
      <c r="P81" s="585"/>
      <c r="Q81" s="585"/>
      <c r="R81" s="585"/>
      <c r="S81" s="585"/>
      <c r="T81" s="585"/>
      <c r="U81" s="585"/>
      <c r="V81" s="585"/>
      <c r="W81" s="585"/>
      <c r="X81" s="464"/>
      <c r="Y81" s="469"/>
      <c r="Z81" s="470"/>
      <c r="AA81" s="469"/>
      <c r="AB81" s="470"/>
      <c r="AC81" s="469"/>
      <c r="AD81" s="470"/>
      <c r="AE81" s="469"/>
      <c r="AG81" s="446"/>
      <c r="AH81" s="446"/>
    </row>
    <row r="82" spans="2:34" s="302" customFormat="1" ht="6.6" customHeight="1" outlineLevel="1" thickBot="1" x14ac:dyDescent="0.25">
      <c r="B82" s="304"/>
      <c r="C82" s="306"/>
      <c r="D82" s="306"/>
      <c r="E82" s="305"/>
      <c r="F82" s="484"/>
      <c r="G82" s="484"/>
      <c r="H82" s="484"/>
      <c r="I82" s="473"/>
      <c r="J82" s="474"/>
      <c r="K82" s="475"/>
      <c r="L82" s="586"/>
      <c r="M82" s="586"/>
      <c r="N82" s="586"/>
      <c r="O82" s="586"/>
      <c r="P82" s="586"/>
      <c r="Q82" s="586"/>
      <c r="R82" s="586"/>
      <c r="S82" s="586"/>
      <c r="T82" s="586"/>
      <c r="U82" s="586"/>
      <c r="V82" s="586"/>
      <c r="W82" s="586"/>
      <c r="X82" s="375"/>
      <c r="Y82" s="476"/>
      <c r="Z82" s="307"/>
      <c r="AA82" s="476"/>
      <c r="AB82" s="307"/>
      <c r="AC82" s="476"/>
      <c r="AD82" s="307"/>
      <c r="AE82" s="476"/>
      <c r="AG82" s="471"/>
      <c r="AH82" s="471"/>
    </row>
    <row r="83" spans="2:34" s="311" customFormat="1" ht="12.75" thickBot="1" x14ac:dyDescent="0.25">
      <c r="B83" s="303"/>
      <c r="C83" s="306" t="str">
        <f>C68</f>
        <v>Performance Incentives: Other Classified/Support Staff</v>
      </c>
      <c r="D83" s="477"/>
      <c r="E83" s="478"/>
      <c r="F83" s="633">
        <v>6157</v>
      </c>
      <c r="G83" s="633"/>
      <c r="H83" s="633"/>
      <c r="I83" s="634"/>
      <c r="J83" s="631">
        <f>SUBTOTAL(9,J69:J82)</f>
        <v>35208</v>
      </c>
      <c r="K83" s="632">
        <f>SUBTOTAL(9,K69:K82)</f>
        <v>35208</v>
      </c>
      <c r="L83" s="622">
        <f>SUMPRODUCT(Payroll!$E$70:$E$82,Payroll!L70:L82)</f>
        <v>0</v>
      </c>
      <c r="M83" s="622">
        <f>SUMPRODUCT(Payroll!$E$70:$E$82,Payroll!M70:M82)</f>
        <v>1680</v>
      </c>
      <c r="N83" s="622">
        <f>SUMPRODUCT(Payroll!$E$70:$E$82,Payroll!N70:N82)</f>
        <v>4356</v>
      </c>
      <c r="O83" s="622">
        <f>SUMPRODUCT(Payroll!$E$70:$E$82,Payroll!O70:O82)</f>
        <v>4446</v>
      </c>
      <c r="P83" s="622">
        <f>SUMPRODUCT(Payroll!$E$70:$E$82,Payroll!P70:P82)</f>
        <v>5196</v>
      </c>
      <c r="Q83" s="622">
        <f>SUMPRODUCT(Payroll!$E$70:$E$82,Payroll!Q70:Q82)</f>
        <v>2766</v>
      </c>
      <c r="R83" s="622">
        <f>SUMPRODUCT(Payroll!$E$70:$E$82,Payroll!R70:R82)</f>
        <v>2766</v>
      </c>
      <c r="S83" s="622">
        <f>SUMPRODUCT(Payroll!$E$70:$E$82,Payroll!S70:S82)</f>
        <v>1926</v>
      </c>
      <c r="T83" s="622">
        <f>SUMPRODUCT(Payroll!$E$70:$E$82,Payroll!T70:T82)</f>
        <v>4356</v>
      </c>
      <c r="U83" s="622">
        <f>SUMPRODUCT(Payroll!$E$70:$E$82,Payroll!U70:U82)</f>
        <v>3606</v>
      </c>
      <c r="V83" s="622">
        <f>SUMPRODUCT(Payroll!$E$70:$E$82,Payroll!V70:V82)</f>
        <v>4110</v>
      </c>
      <c r="W83" s="622">
        <f>SUMPRODUCT(Payroll!$E$70:$E$82,Payroll!W70:W82)</f>
        <v>0</v>
      </c>
      <c r="X83" s="547"/>
      <c r="Y83" s="545">
        <f>SUBTOTAL(9,Y69:Y82)</f>
        <v>7858.08</v>
      </c>
      <c r="Z83" s="546"/>
      <c r="AA83" s="545">
        <f>SUBTOTAL(9,AA69:AA82)</f>
        <v>8015.2416000000003</v>
      </c>
      <c r="AB83" s="546"/>
      <c r="AC83" s="545">
        <f>SUBTOTAL(9,AC69:AC82)</f>
        <v>8175.5464320000001</v>
      </c>
      <c r="AD83" s="546"/>
      <c r="AE83" s="545">
        <f>SUBTOTAL(9,AE69:AE82)</f>
        <v>8339.0573606399994</v>
      </c>
      <c r="AG83" s="482">
        <v>0.01</v>
      </c>
      <c r="AH83" s="482">
        <f>K83-AG83</f>
        <v>35207.99</v>
      </c>
    </row>
    <row r="84" spans="2:34" s="302" customFormat="1" ht="12" outlineLevel="1" x14ac:dyDescent="0.2">
      <c r="B84" s="303" t="s">
        <v>51</v>
      </c>
      <c r="C84" s="311" t="s">
        <v>97</v>
      </c>
      <c r="E84" s="321"/>
      <c r="F84" s="483"/>
      <c r="G84" s="483"/>
      <c r="H84" s="483"/>
      <c r="I84" s="345"/>
      <c r="J84" s="460"/>
      <c r="K84" s="445"/>
      <c r="L84" s="580"/>
      <c r="M84" s="580"/>
      <c r="N84" s="580"/>
      <c r="O84" s="580"/>
      <c r="P84" s="580"/>
      <c r="Q84" s="580"/>
      <c r="R84" s="580"/>
      <c r="S84" s="580"/>
      <c r="T84" s="580"/>
      <c r="U84" s="580"/>
      <c r="V84" s="580"/>
      <c r="W84" s="580"/>
      <c r="X84" s="376"/>
      <c r="Z84" s="304"/>
      <c r="AB84" s="304"/>
      <c r="AD84" s="304"/>
      <c r="AG84" s="446"/>
      <c r="AH84" s="446"/>
    </row>
    <row r="85" spans="2:34" s="302" customFormat="1" ht="12" outlineLevel="1" x14ac:dyDescent="0.2">
      <c r="B85" s="304"/>
      <c r="C85" s="488" t="s">
        <v>79</v>
      </c>
      <c r="D85" s="488" t="s">
        <v>316</v>
      </c>
      <c r="E85" s="489" t="s">
        <v>317</v>
      </c>
      <c r="F85" s="485" t="s">
        <v>84</v>
      </c>
      <c r="G85" s="462" t="s">
        <v>81</v>
      </c>
      <c r="H85" s="462"/>
      <c r="I85" s="485" t="s">
        <v>84</v>
      </c>
      <c r="J85" s="450" t="str">
        <f>$J$6</f>
        <v>FY21 -Full</v>
      </c>
      <c r="K85" s="490" t="s">
        <v>318</v>
      </c>
      <c r="L85" s="583" t="s">
        <v>156</v>
      </c>
      <c r="M85" s="583" t="s">
        <v>157</v>
      </c>
      <c r="N85" s="583" t="s">
        <v>158</v>
      </c>
      <c r="O85" s="583" t="s">
        <v>159</v>
      </c>
      <c r="P85" s="583" t="s">
        <v>160</v>
      </c>
      <c r="Q85" s="583" t="s">
        <v>161</v>
      </c>
      <c r="R85" s="583" t="s">
        <v>162</v>
      </c>
      <c r="S85" s="583" t="s">
        <v>163</v>
      </c>
      <c r="T85" s="583" t="s">
        <v>164</v>
      </c>
      <c r="U85" s="583" t="s">
        <v>165</v>
      </c>
      <c r="V85" s="583" t="s">
        <v>166</v>
      </c>
      <c r="W85" s="583" t="s">
        <v>167</v>
      </c>
      <c r="X85" s="658"/>
      <c r="Y85" s="465" t="str">
        <f>$X$6</f>
        <v>FY22</v>
      </c>
      <c r="Z85" s="466" t="str">
        <f>IF(X85="","",X85)</f>
        <v/>
      </c>
      <c r="AA85" s="465" t="str">
        <f>$Z$6</f>
        <v>FY23</v>
      </c>
      <c r="AB85" s="466" t="str">
        <f>IF(Z85="","",Z85)</f>
        <v/>
      </c>
      <c r="AC85" s="465" t="str">
        <f>$AB$6</f>
        <v>FY24</v>
      </c>
      <c r="AD85" s="466" t="str">
        <f>IF(AB85="","",AB85)</f>
        <v/>
      </c>
      <c r="AE85" s="465" t="str">
        <f>$AD$6</f>
        <v>FY25</v>
      </c>
      <c r="AG85" s="446"/>
      <c r="AH85" s="446"/>
    </row>
    <row r="86" spans="2:34" s="302" customFormat="1" ht="12" outlineLevel="1" x14ac:dyDescent="0.2">
      <c r="B86" s="304"/>
      <c r="C86" s="535"/>
      <c r="D86" s="535"/>
      <c r="E86" s="536"/>
      <c r="F86" s="486" t="s">
        <v>84</v>
      </c>
      <c r="G86" s="667"/>
      <c r="H86" s="668">
        <f>IF(COUNTA(G86)=1,K86,0)</f>
        <v>0</v>
      </c>
      <c r="I86" s="486" t="s">
        <v>84</v>
      </c>
      <c r="J86" s="467">
        <f>E86*SUM(L86:W86)</f>
        <v>0</v>
      </c>
      <c r="K86" s="468">
        <f>E86*SUM(L86:W86)</f>
        <v>0</v>
      </c>
      <c r="L86" s="584"/>
      <c r="M86" s="584"/>
      <c r="N86" s="584"/>
      <c r="O86" s="584"/>
      <c r="P86" s="584"/>
      <c r="Q86" s="584"/>
      <c r="R86" s="584"/>
      <c r="S86" s="584"/>
      <c r="T86" s="584"/>
      <c r="U86" s="584"/>
      <c r="V86" s="584"/>
      <c r="W86" s="584"/>
      <c r="X86" s="464"/>
      <c r="Y86" s="469">
        <f>IF(J86="","",J86*(1+Y$7))</f>
        <v>0</v>
      </c>
      <c r="Z86" s="470"/>
      <c r="AA86" s="469">
        <f>IF(Y86="","",Y86*(1+AA$7))</f>
        <v>0</v>
      </c>
      <c r="AB86" s="470"/>
      <c r="AC86" s="469">
        <f>IF(AA86="","",AA86*(1+AC$7))</f>
        <v>0</v>
      </c>
      <c r="AD86" s="470"/>
      <c r="AE86" s="469">
        <f>IF(AC86="","",AC86*(1+AE$7))</f>
        <v>0</v>
      </c>
      <c r="AG86" s="446"/>
      <c r="AH86" s="446"/>
    </row>
    <row r="87" spans="2:34" s="302" customFormat="1" ht="12" outlineLevel="1" x14ac:dyDescent="0.2">
      <c r="B87" s="304"/>
      <c r="C87" s="539"/>
      <c r="D87" s="539"/>
      <c r="E87" s="540"/>
      <c r="F87" s="486" t="s">
        <v>84</v>
      </c>
      <c r="G87" s="667"/>
      <c r="H87" s="668">
        <f t="shared" ref="H87" si="83">IF(COUNTA(G87)=1,K87,0)</f>
        <v>0</v>
      </c>
      <c r="I87" s="486" t="s">
        <v>84</v>
      </c>
      <c r="J87" s="467">
        <f t="shared" ref="J87" si="84">E87*SUM(L87:W87)</f>
        <v>0</v>
      </c>
      <c r="K87" s="468">
        <f t="shared" ref="K87" si="85">E87*SUM(L87:W87)</f>
        <v>0</v>
      </c>
      <c r="L87" s="585"/>
      <c r="M87" s="585"/>
      <c r="N87" s="585"/>
      <c r="O87" s="585"/>
      <c r="P87" s="585"/>
      <c r="Q87" s="585"/>
      <c r="R87" s="585"/>
      <c r="S87" s="585"/>
      <c r="T87" s="585"/>
      <c r="U87" s="585"/>
      <c r="V87" s="585"/>
      <c r="W87" s="585"/>
      <c r="X87" s="464"/>
      <c r="Y87" s="469">
        <f t="shared" ref="Y87" si="86">IF(J87="","",J87*(1+Y$7))</f>
        <v>0</v>
      </c>
      <c r="Z87" s="470"/>
      <c r="AA87" s="469">
        <f t="shared" ref="AA87" si="87">IF(Y87="","",Y87*(1+AA$7))</f>
        <v>0</v>
      </c>
      <c r="AB87" s="470"/>
      <c r="AC87" s="469">
        <f t="shared" ref="AC87" si="88">IF(AA87="","",AA87*(1+AC$7))</f>
        <v>0</v>
      </c>
      <c r="AD87" s="470"/>
      <c r="AE87" s="469">
        <f t="shared" ref="AE87" si="89">IF(AC87="","",AC87*(1+AE$7))</f>
        <v>0</v>
      </c>
      <c r="AG87" s="446"/>
      <c r="AH87" s="446"/>
    </row>
    <row r="88" spans="2:34" s="302" customFormat="1" ht="6.6" customHeight="1" outlineLevel="1" thickBot="1" x14ac:dyDescent="0.25">
      <c r="B88" s="304"/>
      <c r="C88" s="306"/>
      <c r="D88" s="306"/>
      <c r="E88" s="305"/>
      <c r="F88" s="484"/>
      <c r="G88" s="484"/>
      <c r="H88" s="484"/>
      <c r="I88" s="473"/>
      <c r="J88" s="474"/>
      <c r="K88" s="475"/>
      <c r="L88" s="586"/>
      <c r="M88" s="586"/>
      <c r="N88" s="586"/>
      <c r="O88" s="586"/>
      <c r="P88" s="586"/>
      <c r="Q88" s="586"/>
      <c r="R88" s="586"/>
      <c r="S88" s="586"/>
      <c r="T88" s="586"/>
      <c r="U88" s="586"/>
      <c r="V88" s="586"/>
      <c r="W88" s="586"/>
      <c r="X88" s="375"/>
      <c r="Y88" s="476"/>
      <c r="Z88" s="307"/>
      <c r="AA88" s="476"/>
      <c r="AB88" s="307"/>
      <c r="AC88" s="476"/>
      <c r="AD88" s="307"/>
      <c r="AE88" s="476"/>
      <c r="AG88" s="446"/>
      <c r="AH88" s="446"/>
    </row>
    <row r="89" spans="2:34" s="311" customFormat="1" ht="12.75" thickBot="1" x14ac:dyDescent="0.25">
      <c r="B89" s="303"/>
      <c r="C89" s="306" t="str">
        <f>C84</f>
        <v>Extra Duties: Teachers</v>
      </c>
      <c r="D89" s="477"/>
      <c r="E89" s="478"/>
      <c r="F89" s="633">
        <v>6161</v>
      </c>
      <c r="G89" s="633"/>
      <c r="H89" s="633"/>
      <c r="I89" s="634"/>
      <c r="J89" s="631">
        <f>SUBTOTAL(9,J85:J88)</f>
        <v>0</v>
      </c>
      <c r="K89" s="632">
        <f>SUBTOTAL(9,K85:K88)</f>
        <v>0</v>
      </c>
      <c r="L89" s="622">
        <f>SUMPRODUCT(Payroll!$E$86:$E$88,Payroll!L86:L88)</f>
        <v>0</v>
      </c>
      <c r="M89" s="622">
        <f>SUMPRODUCT(Payroll!$E$86:$E$88,Payroll!M86:M88)</f>
        <v>0</v>
      </c>
      <c r="N89" s="622">
        <f>SUMPRODUCT(Payroll!$E$86:$E$88,Payroll!N86:N88)</f>
        <v>0</v>
      </c>
      <c r="O89" s="622">
        <f>SUMPRODUCT(Payroll!$E$86:$E$88,Payroll!O86:O88)</f>
        <v>0</v>
      </c>
      <c r="P89" s="622">
        <f>SUMPRODUCT(Payroll!$E$86:$E$88,Payroll!P86:P88)</f>
        <v>0</v>
      </c>
      <c r="Q89" s="622">
        <f>SUMPRODUCT(Payroll!$E$86:$E$88,Payroll!Q86:Q88)</f>
        <v>0</v>
      </c>
      <c r="R89" s="622">
        <f>SUMPRODUCT(Payroll!$E$86:$E$88,Payroll!R86:R88)</f>
        <v>0</v>
      </c>
      <c r="S89" s="622">
        <f>SUMPRODUCT(Payroll!$E$86:$E$88,Payroll!S86:S88)</f>
        <v>0</v>
      </c>
      <c r="T89" s="622">
        <f>SUMPRODUCT(Payroll!$E$86:$E$88,Payroll!T86:T88)</f>
        <v>0</v>
      </c>
      <c r="U89" s="622">
        <f>SUMPRODUCT(Payroll!$E$86:$E$88,Payroll!U86:U88)</f>
        <v>0</v>
      </c>
      <c r="V89" s="622">
        <f>SUMPRODUCT(Payroll!$E$86:$E$88,Payroll!V86:V88)</f>
        <v>0</v>
      </c>
      <c r="W89" s="622">
        <f>SUMPRODUCT(Payroll!$E$86:$E$88,Payroll!W86:W88)</f>
        <v>0</v>
      </c>
      <c r="X89" s="547"/>
      <c r="Y89" s="545">
        <f>SUBTOTAL(9,Y85:Y88)</f>
        <v>0</v>
      </c>
      <c r="Z89" s="546"/>
      <c r="AA89" s="545">
        <f>SUBTOTAL(9,AA85:AA88)</f>
        <v>0</v>
      </c>
      <c r="AB89" s="546"/>
      <c r="AC89" s="545">
        <f>SUBTOTAL(9,AC85:AC88)</f>
        <v>0</v>
      </c>
      <c r="AD89" s="546"/>
      <c r="AE89" s="545">
        <f>SUBTOTAL(9,AE85:AE88)</f>
        <v>0</v>
      </c>
      <c r="AG89" s="482">
        <v>0.01</v>
      </c>
      <c r="AH89" s="482">
        <f>K89-AG89</f>
        <v>-0.01</v>
      </c>
    </row>
    <row r="90" spans="2:34" s="302" customFormat="1" ht="12" outlineLevel="1" x14ac:dyDescent="0.2">
      <c r="B90" s="303" t="s">
        <v>52</v>
      </c>
      <c r="C90" s="311" t="s">
        <v>202</v>
      </c>
      <c r="E90" s="321"/>
      <c r="F90" s="483"/>
      <c r="G90" s="483"/>
      <c r="H90" s="483"/>
      <c r="I90" s="345"/>
      <c r="J90" s="460"/>
      <c r="K90" s="445"/>
      <c r="L90" s="580"/>
      <c r="M90" s="580"/>
      <c r="N90" s="580"/>
      <c r="O90" s="580"/>
      <c r="P90" s="580"/>
      <c r="Q90" s="580"/>
      <c r="R90" s="580"/>
      <c r="S90" s="580"/>
      <c r="T90" s="580"/>
      <c r="U90" s="580"/>
      <c r="V90" s="580"/>
      <c r="W90" s="580"/>
      <c r="X90" s="376"/>
      <c r="Z90" s="304"/>
      <c r="AB90" s="304"/>
      <c r="AD90" s="304"/>
      <c r="AG90" s="446"/>
      <c r="AH90" s="446"/>
    </row>
    <row r="91" spans="2:34" s="302" customFormat="1" ht="12" outlineLevel="1" x14ac:dyDescent="0.2">
      <c r="B91" s="304"/>
      <c r="C91" s="488" t="s">
        <v>79</v>
      </c>
      <c r="D91" s="488" t="s">
        <v>316</v>
      </c>
      <c r="E91" s="489" t="s">
        <v>317</v>
      </c>
      <c r="F91" s="485" t="s">
        <v>84</v>
      </c>
      <c r="G91" s="462" t="s">
        <v>81</v>
      </c>
      <c r="H91" s="462"/>
      <c r="I91" s="485" t="s">
        <v>84</v>
      </c>
      <c r="J91" s="450" t="str">
        <f>$J$6</f>
        <v>FY21 -Full</v>
      </c>
      <c r="K91" s="490" t="s">
        <v>318</v>
      </c>
      <c r="L91" s="583" t="s">
        <v>156</v>
      </c>
      <c r="M91" s="583" t="s">
        <v>157</v>
      </c>
      <c r="N91" s="583" t="s">
        <v>158</v>
      </c>
      <c r="O91" s="583" t="s">
        <v>159</v>
      </c>
      <c r="P91" s="583" t="s">
        <v>160</v>
      </c>
      <c r="Q91" s="583" t="s">
        <v>161</v>
      </c>
      <c r="R91" s="583" t="s">
        <v>162</v>
      </c>
      <c r="S91" s="583" t="s">
        <v>163</v>
      </c>
      <c r="T91" s="583" t="s">
        <v>164</v>
      </c>
      <c r="U91" s="583" t="s">
        <v>165</v>
      </c>
      <c r="V91" s="583" t="s">
        <v>166</v>
      </c>
      <c r="W91" s="583" t="s">
        <v>167</v>
      </c>
      <c r="X91" s="658"/>
      <c r="Y91" s="465" t="str">
        <f>$X$6</f>
        <v>FY22</v>
      </c>
      <c r="Z91" s="466" t="str">
        <f>IF(X91="","",X91)</f>
        <v/>
      </c>
      <c r="AA91" s="465" t="str">
        <f>$Z$6</f>
        <v>FY23</v>
      </c>
      <c r="AB91" s="466" t="str">
        <f>IF(Z91="","",Z91)</f>
        <v/>
      </c>
      <c r="AC91" s="465" t="str">
        <f>$AB$6</f>
        <v>FY24</v>
      </c>
      <c r="AD91" s="466" t="str">
        <f>IF(AB91="","",AB91)</f>
        <v/>
      </c>
      <c r="AE91" s="465" t="str">
        <f>$AD$6</f>
        <v>FY25</v>
      </c>
      <c r="AG91" s="446"/>
      <c r="AH91" s="446"/>
    </row>
    <row r="92" spans="2:34" s="302" customFormat="1" ht="12" outlineLevel="1" x14ac:dyDescent="0.2">
      <c r="B92" s="304"/>
      <c r="C92" s="535" t="s">
        <v>524</v>
      </c>
      <c r="D92" s="535" t="s">
        <v>525</v>
      </c>
      <c r="E92" s="618">
        <v>75</v>
      </c>
      <c r="F92" s="486" t="s">
        <v>84</v>
      </c>
      <c r="G92" s="667"/>
      <c r="H92" s="668">
        <f>IF(COUNTA(G92)=1,K92,0)</f>
        <v>0</v>
      </c>
      <c r="I92" s="486" t="s">
        <v>84</v>
      </c>
      <c r="J92" s="467">
        <f>E92*SUM(L92:W92)</f>
        <v>2250</v>
      </c>
      <c r="K92" s="468">
        <f>E92*SUM(L92:W92)</f>
        <v>2250</v>
      </c>
      <c r="L92" s="584"/>
      <c r="M92" s="584"/>
      <c r="N92" s="584"/>
      <c r="O92" s="584"/>
      <c r="P92" s="584"/>
      <c r="Q92" s="584">
        <v>5</v>
      </c>
      <c r="R92" s="584">
        <v>5</v>
      </c>
      <c r="S92" s="584">
        <v>5</v>
      </c>
      <c r="T92" s="584">
        <v>5</v>
      </c>
      <c r="U92" s="584">
        <v>5</v>
      </c>
      <c r="V92" s="584">
        <v>5</v>
      </c>
      <c r="W92" s="584"/>
      <c r="X92" s="464"/>
      <c r="Y92" s="469">
        <f>IF(J92="","",J92*(1+Y$7))</f>
        <v>2295</v>
      </c>
      <c r="Z92" s="470"/>
      <c r="AA92" s="469">
        <f>IF(Y92="","",Y92*(1+AA$7))</f>
        <v>2340.9</v>
      </c>
      <c r="AB92" s="470"/>
      <c r="AC92" s="469">
        <f>IF(AA92="","",AA92*(1+AC$7))</f>
        <v>2387.7180000000003</v>
      </c>
      <c r="AD92" s="470"/>
      <c r="AE92" s="469">
        <f>IF(AC92="","",AC92*(1+AE$7))</f>
        <v>2435.4723600000002</v>
      </c>
      <c r="AG92" s="446"/>
      <c r="AH92" s="446"/>
    </row>
    <row r="93" spans="2:34" s="302" customFormat="1" ht="12" outlineLevel="1" x14ac:dyDescent="0.2">
      <c r="B93" s="304"/>
      <c r="C93" s="535" t="s">
        <v>526</v>
      </c>
      <c r="D93" s="535" t="s">
        <v>527</v>
      </c>
      <c r="E93" s="618">
        <v>75</v>
      </c>
      <c r="F93" s="486" t="s">
        <v>84</v>
      </c>
      <c r="G93" s="667"/>
      <c r="H93" s="668">
        <f t="shared" ref="H93" si="90">IF(COUNTA(G93)=1,K93,0)</f>
        <v>0</v>
      </c>
      <c r="I93" s="486" t="s">
        <v>84</v>
      </c>
      <c r="J93" s="467">
        <f t="shared" ref="J93:J99" si="91">E93*SUM(L93:W93)</f>
        <v>2250</v>
      </c>
      <c r="K93" s="468">
        <f t="shared" ref="K93:K99" si="92">E93*SUM(L93:W93)</f>
        <v>2250</v>
      </c>
      <c r="L93" s="584"/>
      <c r="M93" s="584"/>
      <c r="N93" s="584"/>
      <c r="O93" s="584"/>
      <c r="P93" s="584"/>
      <c r="Q93" s="584">
        <v>5</v>
      </c>
      <c r="R93" s="584">
        <v>5</v>
      </c>
      <c r="S93" s="584">
        <v>5</v>
      </c>
      <c r="T93" s="584">
        <v>5</v>
      </c>
      <c r="U93" s="584">
        <v>5</v>
      </c>
      <c r="V93" s="584">
        <v>5</v>
      </c>
      <c r="W93" s="584"/>
      <c r="X93" s="464"/>
      <c r="Y93" s="469"/>
      <c r="Z93" s="470"/>
      <c r="AA93" s="469"/>
      <c r="AB93" s="470"/>
      <c r="AC93" s="469"/>
      <c r="AD93" s="470"/>
      <c r="AE93" s="469"/>
      <c r="AG93" s="446"/>
      <c r="AH93" s="446"/>
    </row>
    <row r="94" spans="2:34" s="302" customFormat="1" ht="12" outlineLevel="1" x14ac:dyDescent="0.2">
      <c r="B94" s="304"/>
      <c r="C94" s="535" t="s">
        <v>528</v>
      </c>
      <c r="D94" s="535" t="s">
        <v>529</v>
      </c>
      <c r="E94" s="618">
        <v>50</v>
      </c>
      <c r="F94" s="486" t="s">
        <v>84</v>
      </c>
      <c r="G94" s="667"/>
      <c r="H94" s="668">
        <f t="shared" ref="H94:H99" si="93">IF(COUNTA(G94)=1,K94,0)</f>
        <v>0</v>
      </c>
      <c r="I94" s="486" t="s">
        <v>84</v>
      </c>
      <c r="J94" s="467">
        <f t="shared" si="91"/>
        <v>1500</v>
      </c>
      <c r="K94" s="468">
        <f t="shared" si="92"/>
        <v>1500</v>
      </c>
      <c r="L94" s="584"/>
      <c r="M94" s="584"/>
      <c r="N94" s="584"/>
      <c r="O94" s="584"/>
      <c r="P94" s="584"/>
      <c r="Q94" s="584">
        <v>5</v>
      </c>
      <c r="R94" s="584">
        <v>5</v>
      </c>
      <c r="S94" s="584">
        <v>5</v>
      </c>
      <c r="T94" s="584">
        <v>5</v>
      </c>
      <c r="U94" s="584">
        <v>5</v>
      </c>
      <c r="V94" s="584">
        <v>5</v>
      </c>
      <c r="W94" s="584"/>
      <c r="X94" s="464"/>
      <c r="Y94" s="469"/>
      <c r="Z94" s="470"/>
      <c r="AA94" s="469"/>
      <c r="AB94" s="470"/>
      <c r="AC94" s="469"/>
      <c r="AD94" s="470"/>
      <c r="AE94" s="469"/>
      <c r="AG94" s="446"/>
      <c r="AH94" s="446"/>
    </row>
    <row r="95" spans="2:34" s="302" customFormat="1" ht="12" outlineLevel="1" x14ac:dyDescent="0.2">
      <c r="B95" s="304"/>
      <c r="C95" s="535" t="s">
        <v>538</v>
      </c>
      <c r="D95" s="535" t="s">
        <v>531</v>
      </c>
      <c r="E95" s="618">
        <v>50</v>
      </c>
      <c r="F95" s="486" t="s">
        <v>84</v>
      </c>
      <c r="G95" s="667"/>
      <c r="H95" s="668">
        <f t="shared" si="93"/>
        <v>0</v>
      </c>
      <c r="I95" s="486" t="s">
        <v>84</v>
      </c>
      <c r="J95" s="467">
        <f>E95*SUM(L95:W95)</f>
        <v>1500</v>
      </c>
      <c r="K95" s="468">
        <f>E95*SUM(L95:W95)</f>
        <v>1500</v>
      </c>
      <c r="L95" s="584"/>
      <c r="M95" s="584"/>
      <c r="N95" s="584"/>
      <c r="O95" s="584"/>
      <c r="P95" s="584"/>
      <c r="Q95" s="584">
        <v>5</v>
      </c>
      <c r="R95" s="584">
        <v>5</v>
      </c>
      <c r="S95" s="584">
        <v>5</v>
      </c>
      <c r="T95" s="584">
        <v>5</v>
      </c>
      <c r="U95" s="584">
        <v>5</v>
      </c>
      <c r="V95" s="584">
        <v>5</v>
      </c>
      <c r="W95" s="584"/>
      <c r="X95" s="464"/>
      <c r="Y95" s="469">
        <f>IF(J95="","",J95*(1+Y$7))</f>
        <v>1530</v>
      </c>
      <c r="Z95" s="470"/>
      <c r="AA95" s="469">
        <f>IF(Y95="","",Y95*(1+AA$7))</f>
        <v>1560.6000000000001</v>
      </c>
      <c r="AB95" s="470"/>
      <c r="AC95" s="469">
        <f>IF(AA95="","",AA95*(1+AC$7))</f>
        <v>1591.8120000000001</v>
      </c>
      <c r="AD95" s="470"/>
      <c r="AE95" s="469">
        <f>IF(AC95="","",AC95*(1+AE$7))</f>
        <v>1623.6482400000002</v>
      </c>
      <c r="AG95" s="446"/>
      <c r="AH95" s="446"/>
    </row>
    <row r="96" spans="2:34" s="302" customFormat="1" ht="12" outlineLevel="1" x14ac:dyDescent="0.2">
      <c r="B96" s="304"/>
      <c r="C96" s="535" t="s">
        <v>538</v>
      </c>
      <c r="D96" s="535" t="s">
        <v>7</v>
      </c>
      <c r="E96" s="618">
        <v>50</v>
      </c>
      <c r="F96" s="486" t="s">
        <v>84</v>
      </c>
      <c r="G96" s="667" t="s">
        <v>570</v>
      </c>
      <c r="H96" s="668">
        <f t="shared" si="93"/>
        <v>5000</v>
      </c>
      <c r="I96" s="486" t="s">
        <v>84</v>
      </c>
      <c r="J96" s="467">
        <f>E96*SUM(L96:W96)</f>
        <v>5000</v>
      </c>
      <c r="K96" s="468">
        <f>E96*SUM(L96:W96)</f>
        <v>5000</v>
      </c>
      <c r="L96" s="584"/>
      <c r="M96" s="584"/>
      <c r="N96" s="584">
        <v>15</v>
      </c>
      <c r="O96" s="584">
        <v>20</v>
      </c>
      <c r="P96" s="584">
        <v>15</v>
      </c>
      <c r="Q96" s="584"/>
      <c r="R96" s="584"/>
      <c r="S96" s="584">
        <v>15</v>
      </c>
      <c r="T96" s="584">
        <v>20</v>
      </c>
      <c r="U96" s="584">
        <v>15</v>
      </c>
      <c r="V96" s="584"/>
      <c r="W96" s="584"/>
      <c r="X96" s="464"/>
      <c r="Y96" s="469">
        <f>IF(J96="","",J96*(1+Y$7))</f>
        <v>5100</v>
      </c>
      <c r="Z96" s="470"/>
      <c r="AA96" s="469">
        <f>IF(Y96="","",Y96*(1+AA$7))</f>
        <v>5202</v>
      </c>
      <c r="AB96" s="470"/>
      <c r="AC96" s="469">
        <f>IF(AA96="","",AA96*(1+AC$7))</f>
        <v>5306.04</v>
      </c>
      <c r="AD96" s="470"/>
      <c r="AE96" s="469">
        <f>IF(AC96="","",AC96*(1+AE$7))</f>
        <v>5412.1607999999997</v>
      </c>
      <c r="AG96" s="446"/>
      <c r="AH96" s="446"/>
    </row>
    <row r="97" spans="2:34" s="302" customFormat="1" ht="12" outlineLevel="1" x14ac:dyDescent="0.2">
      <c r="B97" s="304"/>
      <c r="C97" s="535"/>
      <c r="D97" s="535"/>
      <c r="E97" s="618"/>
      <c r="F97" s="486" t="s">
        <v>84</v>
      </c>
      <c r="G97" s="667"/>
      <c r="H97" s="668">
        <f t="shared" si="93"/>
        <v>0</v>
      </c>
      <c r="I97" s="486" t="s">
        <v>84</v>
      </c>
      <c r="J97" s="467">
        <f t="shared" si="91"/>
        <v>0</v>
      </c>
      <c r="K97" s="468">
        <f t="shared" si="92"/>
        <v>0</v>
      </c>
      <c r="L97" s="584"/>
      <c r="M97" s="584"/>
      <c r="N97" s="584"/>
      <c r="O97" s="584"/>
      <c r="P97" s="584"/>
      <c r="Q97" s="584"/>
      <c r="R97" s="584"/>
      <c r="S97" s="584"/>
      <c r="T97" s="584"/>
      <c r="U97" s="584"/>
      <c r="V97" s="584"/>
      <c r="W97" s="584"/>
      <c r="X97" s="464"/>
      <c r="Y97" s="469"/>
      <c r="Z97" s="470"/>
      <c r="AA97" s="469"/>
      <c r="AB97" s="470"/>
      <c r="AC97" s="469"/>
      <c r="AD97" s="470"/>
      <c r="AE97" s="469"/>
      <c r="AG97" s="446"/>
      <c r="AH97" s="446"/>
    </row>
    <row r="98" spans="2:34" s="302" customFormat="1" ht="12" outlineLevel="1" x14ac:dyDescent="0.2">
      <c r="B98" s="304"/>
      <c r="C98" s="539"/>
      <c r="D98" s="539"/>
      <c r="E98" s="627"/>
      <c r="F98" s="486" t="s">
        <v>84</v>
      </c>
      <c r="G98" s="667"/>
      <c r="H98" s="668">
        <f t="shared" si="93"/>
        <v>0</v>
      </c>
      <c r="I98" s="486" t="s">
        <v>84</v>
      </c>
      <c r="J98" s="467">
        <f t="shared" si="91"/>
        <v>0</v>
      </c>
      <c r="K98" s="468">
        <f t="shared" si="92"/>
        <v>0</v>
      </c>
      <c r="L98" s="585"/>
      <c r="M98" s="585"/>
      <c r="N98" s="585"/>
      <c r="O98" s="585"/>
      <c r="P98" s="585"/>
      <c r="Q98" s="585"/>
      <c r="R98" s="585"/>
      <c r="S98" s="585"/>
      <c r="T98" s="585"/>
      <c r="U98" s="585"/>
      <c r="V98" s="585"/>
      <c r="W98" s="585"/>
      <c r="X98" s="464"/>
      <c r="Y98" s="469"/>
      <c r="Z98" s="470"/>
      <c r="AA98" s="469"/>
      <c r="AB98" s="470"/>
      <c r="AC98" s="469"/>
      <c r="AD98" s="470"/>
      <c r="AE98" s="469"/>
      <c r="AG98" s="446"/>
      <c r="AH98" s="446"/>
    </row>
    <row r="99" spans="2:34" s="302" customFormat="1" ht="12" outlineLevel="1" x14ac:dyDescent="0.2">
      <c r="B99" s="304"/>
      <c r="C99" s="539"/>
      <c r="D99" s="539"/>
      <c r="E99" s="627"/>
      <c r="F99" s="486" t="s">
        <v>84</v>
      </c>
      <c r="G99" s="667"/>
      <c r="H99" s="668">
        <f t="shared" si="93"/>
        <v>0</v>
      </c>
      <c r="I99" s="486" t="s">
        <v>84</v>
      </c>
      <c r="J99" s="467">
        <f t="shared" si="91"/>
        <v>0</v>
      </c>
      <c r="K99" s="468">
        <f t="shared" si="92"/>
        <v>0</v>
      </c>
      <c r="L99" s="585"/>
      <c r="M99" s="585"/>
      <c r="N99" s="585"/>
      <c r="O99" s="585"/>
      <c r="P99" s="585"/>
      <c r="Q99" s="585"/>
      <c r="R99" s="585"/>
      <c r="S99" s="585"/>
      <c r="T99" s="585"/>
      <c r="U99" s="585"/>
      <c r="V99" s="585"/>
      <c r="W99" s="585"/>
      <c r="X99" s="464"/>
      <c r="Y99" s="469">
        <f t="shared" ref="Y99" si="94">IF(J99="","",J99*(1+Y$7))</f>
        <v>0</v>
      </c>
      <c r="Z99" s="470"/>
      <c r="AA99" s="469">
        <f t="shared" ref="AA99" si="95">IF(Y99="","",Y99*(1+AA$7))</f>
        <v>0</v>
      </c>
      <c r="AB99" s="470"/>
      <c r="AC99" s="469">
        <f t="shared" ref="AC99" si="96">IF(AA99="","",AA99*(1+AC$7))</f>
        <v>0</v>
      </c>
      <c r="AD99" s="470"/>
      <c r="AE99" s="469">
        <f t="shared" ref="AE99" si="97">IF(AC99="","",AC99*(1+AE$7))</f>
        <v>0</v>
      </c>
      <c r="AG99" s="471"/>
      <c r="AH99" s="471"/>
    </row>
    <row r="100" spans="2:34" s="302" customFormat="1" ht="6.6" customHeight="1" outlineLevel="1" thickBot="1" x14ac:dyDescent="0.25">
      <c r="B100" s="304"/>
      <c r="C100" s="306"/>
      <c r="D100" s="306"/>
      <c r="E100" s="305"/>
      <c r="F100" s="484"/>
      <c r="G100" s="484"/>
      <c r="H100" s="484"/>
      <c r="I100" s="473"/>
      <c r="J100" s="474"/>
      <c r="K100" s="475"/>
      <c r="L100" s="586"/>
      <c r="M100" s="586"/>
      <c r="N100" s="586"/>
      <c r="O100" s="586"/>
      <c r="P100" s="586"/>
      <c r="Q100" s="586"/>
      <c r="R100" s="586"/>
      <c r="S100" s="586"/>
      <c r="T100" s="586"/>
      <c r="U100" s="586"/>
      <c r="V100" s="586"/>
      <c r="W100" s="586"/>
      <c r="X100" s="375"/>
      <c r="Y100" s="476"/>
      <c r="Z100" s="307"/>
      <c r="AA100" s="476"/>
      <c r="AB100" s="307"/>
      <c r="AC100" s="476"/>
      <c r="AD100" s="307"/>
      <c r="AE100" s="476"/>
      <c r="AG100" s="471"/>
      <c r="AH100" s="471"/>
    </row>
    <row r="101" spans="2:34" s="311" customFormat="1" ht="12.75" thickBot="1" x14ac:dyDescent="0.25">
      <c r="B101" s="303"/>
      <c r="C101" s="306" t="str">
        <f>C90</f>
        <v>Extra Duties: Licensed Admin</v>
      </c>
      <c r="D101" s="477"/>
      <c r="E101" s="478"/>
      <c r="F101" s="633">
        <v>6164</v>
      </c>
      <c r="G101" s="633"/>
      <c r="H101" s="633"/>
      <c r="I101" s="634"/>
      <c r="J101" s="631">
        <f>SUBTOTAL(9,J91:J100)</f>
        <v>12500</v>
      </c>
      <c r="K101" s="632">
        <f>SUBTOTAL(9,K91:K100)</f>
        <v>12500</v>
      </c>
      <c r="L101" s="622">
        <f>SUMPRODUCT(Payroll!$E$92:$E$100,Payroll!L92:L100)</f>
        <v>0</v>
      </c>
      <c r="M101" s="622">
        <f>SUMPRODUCT(Payroll!$E$92:$E$100,Payroll!M92:M100)</f>
        <v>0</v>
      </c>
      <c r="N101" s="622">
        <f>SUMPRODUCT(Payroll!$E$92:$E$100,Payroll!N92:N100)</f>
        <v>750</v>
      </c>
      <c r="O101" s="622">
        <f>SUMPRODUCT(Payroll!$E$92:$E$100,Payroll!O92:O100)</f>
        <v>1000</v>
      </c>
      <c r="P101" s="622">
        <f>SUMPRODUCT(Payroll!$E$92:$E$100,Payroll!P92:P100)</f>
        <v>750</v>
      </c>
      <c r="Q101" s="622">
        <f>SUMPRODUCT(Payroll!$E$92:$E$100,Payroll!Q92:Q100)</f>
        <v>1250</v>
      </c>
      <c r="R101" s="622">
        <f>SUMPRODUCT(Payroll!$E$92:$E$100,Payroll!R92:R100)</f>
        <v>1250</v>
      </c>
      <c r="S101" s="622">
        <f>SUMPRODUCT(Payroll!$E$92:$E$100,Payroll!S92:S100)</f>
        <v>2000</v>
      </c>
      <c r="T101" s="622">
        <f>SUMPRODUCT(Payroll!$E$92:$E$100,Payroll!T92:T100)</f>
        <v>2250</v>
      </c>
      <c r="U101" s="622">
        <f>SUMPRODUCT(Payroll!$E$92:$E$100,Payroll!U92:U100)</f>
        <v>2000</v>
      </c>
      <c r="V101" s="622">
        <f>SUMPRODUCT(Payroll!$E$92:$E$100,Payroll!V92:V100)</f>
        <v>1250</v>
      </c>
      <c r="W101" s="622">
        <f>SUMPRODUCT(Payroll!$E$92:$E$100,Payroll!W92:W100)</f>
        <v>0</v>
      </c>
      <c r="X101" s="548"/>
      <c r="Y101" s="549">
        <f>SUBTOTAL(9,Y91:Y100)</f>
        <v>8925</v>
      </c>
      <c r="Z101" s="550"/>
      <c r="AA101" s="549">
        <f>SUBTOTAL(9,AA91:AA100)</f>
        <v>9103.5</v>
      </c>
      <c r="AB101" s="550"/>
      <c r="AC101" s="549">
        <f>SUBTOTAL(9,AC91:AC100)</f>
        <v>9285.57</v>
      </c>
      <c r="AD101" s="550"/>
      <c r="AE101" s="549">
        <f>SUBTOTAL(9,AE91:AE100)</f>
        <v>9471.2813999999998</v>
      </c>
      <c r="AG101" s="482">
        <v>0.01</v>
      </c>
      <c r="AH101" s="482">
        <f>K101-AG101</f>
        <v>12499.99</v>
      </c>
    </row>
    <row r="102" spans="2:34" s="302" customFormat="1" ht="12" outlineLevel="1" x14ac:dyDescent="0.2">
      <c r="B102" s="303" t="s">
        <v>53</v>
      </c>
      <c r="C102" s="311" t="s">
        <v>211</v>
      </c>
      <c r="E102" s="321"/>
      <c r="F102" s="483"/>
      <c r="G102" s="483"/>
      <c r="H102" s="483"/>
      <c r="I102" s="345"/>
      <c r="J102" s="460"/>
      <c r="K102" s="445"/>
      <c r="L102" s="580"/>
      <c r="M102" s="580"/>
      <c r="N102" s="580"/>
      <c r="O102" s="580"/>
      <c r="P102" s="580"/>
      <c r="Q102" s="580"/>
      <c r="R102" s="580"/>
      <c r="S102" s="580"/>
      <c r="T102" s="580"/>
      <c r="U102" s="580"/>
      <c r="V102" s="580"/>
      <c r="W102" s="580"/>
      <c r="X102" s="376"/>
      <c r="Z102" s="304"/>
      <c r="AB102" s="304"/>
      <c r="AD102" s="304"/>
      <c r="AG102" s="446"/>
      <c r="AH102" s="446"/>
    </row>
    <row r="103" spans="2:34" s="302" customFormat="1" ht="12" outlineLevel="1" x14ac:dyDescent="0.2">
      <c r="B103" s="304"/>
      <c r="C103" s="488" t="s">
        <v>79</v>
      </c>
      <c r="D103" s="488" t="s">
        <v>316</v>
      </c>
      <c r="E103" s="489" t="s">
        <v>317</v>
      </c>
      <c r="F103" s="485" t="s">
        <v>84</v>
      </c>
      <c r="G103" s="462" t="s">
        <v>81</v>
      </c>
      <c r="H103" s="462"/>
      <c r="I103" s="485" t="s">
        <v>84</v>
      </c>
      <c r="J103" s="450" t="str">
        <f>$J$6</f>
        <v>FY21 -Full</v>
      </c>
      <c r="K103" s="490" t="s">
        <v>318</v>
      </c>
      <c r="L103" s="583" t="s">
        <v>156</v>
      </c>
      <c r="M103" s="583" t="s">
        <v>157</v>
      </c>
      <c r="N103" s="583" t="s">
        <v>158</v>
      </c>
      <c r="O103" s="583" t="s">
        <v>159</v>
      </c>
      <c r="P103" s="583" t="s">
        <v>160</v>
      </c>
      <c r="Q103" s="583" t="s">
        <v>161</v>
      </c>
      <c r="R103" s="583" t="s">
        <v>162</v>
      </c>
      <c r="S103" s="583" t="s">
        <v>163</v>
      </c>
      <c r="T103" s="583" t="s">
        <v>164</v>
      </c>
      <c r="U103" s="583" t="s">
        <v>165</v>
      </c>
      <c r="V103" s="583" t="s">
        <v>166</v>
      </c>
      <c r="W103" s="583" t="s">
        <v>167</v>
      </c>
      <c r="X103" s="658"/>
      <c r="Y103" s="465" t="str">
        <f>$X$6</f>
        <v>FY22</v>
      </c>
      <c r="Z103" s="466" t="str">
        <f>IF(X103="","",X103)</f>
        <v/>
      </c>
      <c r="AA103" s="465" t="str">
        <f>$Z$6</f>
        <v>FY23</v>
      </c>
      <c r="AB103" s="466" t="str">
        <f>IF(Z103="","",Z103)</f>
        <v/>
      </c>
      <c r="AC103" s="465" t="str">
        <f>$AB$6</f>
        <v>FY24</v>
      </c>
      <c r="AD103" s="466" t="str">
        <f>IF(AB103="","",AB103)</f>
        <v/>
      </c>
      <c r="AE103" s="465" t="str">
        <f>$AD$6</f>
        <v>FY25</v>
      </c>
      <c r="AG103" s="446"/>
      <c r="AH103" s="446"/>
    </row>
    <row r="104" spans="2:34" s="302" customFormat="1" ht="12" outlineLevel="1" x14ac:dyDescent="0.2">
      <c r="B104" s="304"/>
      <c r="C104" s="535" t="s">
        <v>534</v>
      </c>
      <c r="D104" s="535" t="s">
        <v>535</v>
      </c>
      <c r="E104" s="618">
        <v>30</v>
      </c>
      <c r="F104" s="486" t="s">
        <v>84</v>
      </c>
      <c r="G104" s="667"/>
      <c r="H104" s="668">
        <f>IF(COUNTA(G104)=1,K104,0)</f>
        <v>0</v>
      </c>
      <c r="I104" s="486" t="s">
        <v>84</v>
      </c>
      <c r="J104" s="467">
        <f t="shared" ref="J104:J113" si="98">E104*SUM(L104:W104)</f>
        <v>300</v>
      </c>
      <c r="K104" s="468">
        <f t="shared" ref="K104:K113" si="99">E104*SUM(L104:W104)</f>
        <v>300</v>
      </c>
      <c r="L104" s="584"/>
      <c r="M104" s="584"/>
      <c r="N104" s="584"/>
      <c r="O104" s="584"/>
      <c r="P104" s="584"/>
      <c r="Q104" s="584">
        <v>2</v>
      </c>
      <c r="R104" s="584">
        <v>2</v>
      </c>
      <c r="S104" s="584">
        <v>2</v>
      </c>
      <c r="T104" s="584">
        <v>2</v>
      </c>
      <c r="U104" s="584">
        <v>2</v>
      </c>
      <c r="V104" s="584"/>
      <c r="W104" s="584"/>
      <c r="X104" s="464"/>
      <c r="Y104" s="469">
        <f>IF(J104="","",J104*(1+Y$7))</f>
        <v>306</v>
      </c>
      <c r="Z104" s="470"/>
      <c r="AA104" s="469">
        <f>IF(Y104="","",Y104*(1+AA$7))</f>
        <v>312.12</v>
      </c>
      <c r="AB104" s="470"/>
      <c r="AC104" s="469">
        <f>IF(AA104="","",AA104*(1+AC$7))</f>
        <v>318.36240000000004</v>
      </c>
      <c r="AD104" s="470"/>
      <c r="AE104" s="469">
        <f>IF(AC104="","",AC104*(1+AE$7))</f>
        <v>324.72964800000005</v>
      </c>
      <c r="AG104" s="446"/>
      <c r="AH104" s="446"/>
    </row>
    <row r="105" spans="2:34" s="302" customFormat="1" ht="12" outlineLevel="1" x14ac:dyDescent="0.2">
      <c r="B105" s="304"/>
      <c r="C105" s="535" t="s">
        <v>536</v>
      </c>
      <c r="D105" s="535" t="s">
        <v>537</v>
      </c>
      <c r="E105" s="618">
        <v>30</v>
      </c>
      <c r="F105" s="486" t="s">
        <v>84</v>
      </c>
      <c r="G105" s="667"/>
      <c r="H105" s="668">
        <f t="shared" ref="H105:H112" si="100">IF(COUNTA(G105)=1,K105,0)</f>
        <v>0</v>
      </c>
      <c r="I105" s="486" t="s">
        <v>84</v>
      </c>
      <c r="J105" s="467">
        <f t="shared" ref="J105:J111" si="101">E105*SUM(L105:W105)</f>
        <v>300</v>
      </c>
      <c r="K105" s="468">
        <f t="shared" si="99"/>
        <v>300</v>
      </c>
      <c r="L105" s="584"/>
      <c r="M105" s="584"/>
      <c r="N105" s="584"/>
      <c r="O105" s="584"/>
      <c r="P105" s="584"/>
      <c r="Q105" s="584">
        <v>2</v>
      </c>
      <c r="R105" s="584">
        <v>2</v>
      </c>
      <c r="S105" s="584">
        <v>2</v>
      </c>
      <c r="T105" s="584">
        <v>2</v>
      </c>
      <c r="U105" s="584">
        <v>2</v>
      </c>
      <c r="V105" s="584"/>
      <c r="W105" s="584"/>
      <c r="X105" s="464"/>
      <c r="Y105" s="469"/>
      <c r="Z105" s="470"/>
      <c r="AA105" s="469"/>
      <c r="AB105" s="470"/>
      <c r="AC105" s="469"/>
      <c r="AD105" s="470"/>
      <c r="AE105" s="469"/>
      <c r="AG105" s="446"/>
      <c r="AH105" s="446"/>
    </row>
    <row r="106" spans="2:34" s="302" customFormat="1" ht="12" outlineLevel="1" x14ac:dyDescent="0.2">
      <c r="B106" s="304"/>
      <c r="C106" s="535" t="s">
        <v>538</v>
      </c>
      <c r="D106" s="535" t="s">
        <v>539</v>
      </c>
      <c r="E106" s="618">
        <v>30</v>
      </c>
      <c r="F106" s="486" t="s">
        <v>84</v>
      </c>
      <c r="G106" s="667"/>
      <c r="H106" s="668">
        <f t="shared" si="100"/>
        <v>0</v>
      </c>
      <c r="I106" s="486" t="s">
        <v>84</v>
      </c>
      <c r="J106" s="467">
        <f t="shared" si="101"/>
        <v>0</v>
      </c>
      <c r="K106" s="468">
        <f t="shared" si="99"/>
        <v>0</v>
      </c>
      <c r="L106" s="584"/>
      <c r="M106" s="584"/>
      <c r="N106" s="584"/>
      <c r="O106" s="584"/>
      <c r="P106" s="584"/>
      <c r="Q106" s="584"/>
      <c r="R106" s="584"/>
      <c r="S106" s="584"/>
      <c r="T106" s="584"/>
      <c r="U106" s="584"/>
      <c r="V106" s="584"/>
      <c r="W106" s="584"/>
      <c r="X106" s="464"/>
      <c r="Y106" s="469"/>
      <c r="Z106" s="470"/>
      <c r="AA106" s="469"/>
      <c r="AB106" s="470"/>
      <c r="AC106" s="469"/>
      <c r="AD106" s="470"/>
      <c r="AE106" s="469"/>
      <c r="AG106" s="446"/>
      <c r="AH106" s="446"/>
    </row>
    <row r="107" spans="2:34" s="302" customFormat="1" ht="12" outlineLevel="1" x14ac:dyDescent="0.2">
      <c r="B107" s="304"/>
      <c r="C107" s="535" t="s">
        <v>810</v>
      </c>
      <c r="D107" s="535" t="s">
        <v>540</v>
      </c>
      <c r="E107" s="618">
        <v>50</v>
      </c>
      <c r="F107" s="486" t="s">
        <v>84</v>
      </c>
      <c r="G107" s="667"/>
      <c r="H107" s="668">
        <f t="shared" si="100"/>
        <v>0</v>
      </c>
      <c r="I107" s="486" t="s">
        <v>84</v>
      </c>
      <c r="J107" s="467">
        <f t="shared" si="101"/>
        <v>500</v>
      </c>
      <c r="K107" s="468">
        <f t="shared" si="99"/>
        <v>500</v>
      </c>
      <c r="L107" s="584"/>
      <c r="M107" s="584"/>
      <c r="N107" s="584"/>
      <c r="O107" s="584"/>
      <c r="P107" s="584"/>
      <c r="Q107" s="584">
        <v>2</v>
      </c>
      <c r="R107" s="584">
        <v>2</v>
      </c>
      <c r="S107" s="584">
        <v>2</v>
      </c>
      <c r="T107" s="584">
        <v>2</v>
      </c>
      <c r="U107" s="584">
        <v>2</v>
      </c>
      <c r="V107" s="584"/>
      <c r="W107" s="584"/>
      <c r="X107" s="464"/>
      <c r="Y107" s="469"/>
      <c r="Z107" s="470"/>
      <c r="AA107" s="469"/>
      <c r="AB107" s="470"/>
      <c r="AC107" s="469"/>
      <c r="AD107" s="470"/>
      <c r="AE107" s="469"/>
      <c r="AG107" s="446"/>
      <c r="AH107" s="446"/>
    </row>
    <row r="108" spans="2:34" s="302" customFormat="1" ht="12" outlineLevel="1" x14ac:dyDescent="0.2">
      <c r="B108" s="304"/>
      <c r="C108" s="535" t="s">
        <v>541</v>
      </c>
      <c r="D108" s="535" t="s">
        <v>542</v>
      </c>
      <c r="E108" s="618">
        <v>30</v>
      </c>
      <c r="F108" s="486" t="s">
        <v>84</v>
      </c>
      <c r="G108" s="667"/>
      <c r="H108" s="668">
        <f t="shared" si="100"/>
        <v>0</v>
      </c>
      <c r="I108" s="486" t="s">
        <v>84</v>
      </c>
      <c r="J108" s="467">
        <f t="shared" si="101"/>
        <v>300</v>
      </c>
      <c r="K108" s="468">
        <f t="shared" si="99"/>
        <v>300</v>
      </c>
      <c r="L108" s="584"/>
      <c r="M108" s="584"/>
      <c r="N108" s="584"/>
      <c r="O108" s="584"/>
      <c r="P108" s="584"/>
      <c r="Q108" s="584">
        <v>2</v>
      </c>
      <c r="R108" s="584">
        <v>2</v>
      </c>
      <c r="S108" s="584">
        <v>2</v>
      </c>
      <c r="T108" s="584">
        <v>2</v>
      </c>
      <c r="U108" s="584">
        <v>2</v>
      </c>
      <c r="V108" s="584"/>
      <c r="W108" s="584"/>
      <c r="X108" s="464"/>
      <c r="Y108" s="469"/>
      <c r="Z108" s="470"/>
      <c r="AA108" s="469"/>
      <c r="AB108" s="470"/>
      <c r="AC108" s="469"/>
      <c r="AD108" s="470"/>
      <c r="AE108" s="469"/>
      <c r="AG108" s="446"/>
      <c r="AH108" s="446"/>
    </row>
    <row r="109" spans="2:34" s="302" customFormat="1" ht="12" outlineLevel="1" x14ac:dyDescent="0.2">
      <c r="B109" s="304"/>
      <c r="C109" s="535" t="s">
        <v>543</v>
      </c>
      <c r="D109" s="535" t="s">
        <v>544</v>
      </c>
      <c r="E109" s="618">
        <v>30</v>
      </c>
      <c r="F109" s="486" t="s">
        <v>84</v>
      </c>
      <c r="G109" s="667"/>
      <c r="H109" s="668">
        <f t="shared" si="100"/>
        <v>0</v>
      </c>
      <c r="I109" s="486" t="s">
        <v>84</v>
      </c>
      <c r="J109" s="467">
        <f t="shared" si="101"/>
        <v>300</v>
      </c>
      <c r="K109" s="468">
        <f t="shared" si="99"/>
        <v>300</v>
      </c>
      <c r="L109" s="584"/>
      <c r="M109" s="584"/>
      <c r="N109" s="584"/>
      <c r="O109" s="584"/>
      <c r="P109" s="584"/>
      <c r="Q109" s="584">
        <v>2</v>
      </c>
      <c r="R109" s="584">
        <v>2</v>
      </c>
      <c r="S109" s="584">
        <v>2</v>
      </c>
      <c r="T109" s="584">
        <v>2</v>
      </c>
      <c r="U109" s="584">
        <v>2</v>
      </c>
      <c r="V109" s="584"/>
      <c r="W109" s="584"/>
      <c r="X109" s="464"/>
      <c r="Y109" s="469"/>
      <c r="Z109" s="470"/>
      <c r="AA109" s="469"/>
      <c r="AB109" s="470"/>
      <c r="AC109" s="469"/>
      <c r="AD109" s="470"/>
      <c r="AE109" s="469"/>
      <c r="AG109" s="446"/>
      <c r="AH109" s="446"/>
    </row>
    <row r="110" spans="2:34" s="302" customFormat="1" ht="12" outlineLevel="1" x14ac:dyDescent="0.2">
      <c r="B110" s="304"/>
      <c r="C110" s="535" t="s">
        <v>545</v>
      </c>
      <c r="D110" s="535" t="s">
        <v>546</v>
      </c>
      <c r="E110" s="618">
        <v>30</v>
      </c>
      <c r="F110" s="486" t="s">
        <v>84</v>
      </c>
      <c r="G110" s="667"/>
      <c r="H110" s="668">
        <f t="shared" si="100"/>
        <v>0</v>
      </c>
      <c r="I110" s="486" t="s">
        <v>84</v>
      </c>
      <c r="J110" s="467">
        <f t="shared" si="101"/>
        <v>300</v>
      </c>
      <c r="K110" s="468">
        <f t="shared" si="99"/>
        <v>300</v>
      </c>
      <c r="L110" s="584"/>
      <c r="M110" s="584"/>
      <c r="N110" s="584"/>
      <c r="O110" s="584"/>
      <c r="P110" s="584"/>
      <c r="Q110" s="584">
        <v>2</v>
      </c>
      <c r="R110" s="584">
        <v>2</v>
      </c>
      <c r="S110" s="584">
        <v>2</v>
      </c>
      <c r="T110" s="584">
        <v>2</v>
      </c>
      <c r="U110" s="584">
        <v>2</v>
      </c>
      <c r="V110" s="584"/>
      <c r="W110" s="584"/>
      <c r="X110" s="464"/>
      <c r="Y110" s="469"/>
      <c r="Z110" s="470"/>
      <c r="AA110" s="469"/>
      <c r="AB110" s="470"/>
      <c r="AC110" s="469"/>
      <c r="AD110" s="470"/>
      <c r="AE110" s="469"/>
      <c r="AG110" s="446"/>
      <c r="AH110" s="446"/>
    </row>
    <row r="111" spans="2:34" s="302" customFormat="1" ht="12" outlineLevel="1" x14ac:dyDescent="0.2">
      <c r="B111" s="304"/>
      <c r="C111" s="535" t="s">
        <v>547</v>
      </c>
      <c r="D111" s="535" t="s">
        <v>548</v>
      </c>
      <c r="E111" s="618">
        <v>50</v>
      </c>
      <c r="F111" s="486" t="s">
        <v>84</v>
      </c>
      <c r="G111" s="667"/>
      <c r="H111" s="668">
        <f t="shared" si="100"/>
        <v>0</v>
      </c>
      <c r="I111" s="486" t="s">
        <v>84</v>
      </c>
      <c r="J111" s="467">
        <f t="shared" si="101"/>
        <v>500</v>
      </c>
      <c r="K111" s="468">
        <f t="shared" si="99"/>
        <v>500</v>
      </c>
      <c r="L111" s="584"/>
      <c r="M111" s="584"/>
      <c r="N111" s="584"/>
      <c r="O111" s="584"/>
      <c r="P111" s="584"/>
      <c r="Q111" s="584">
        <v>2</v>
      </c>
      <c r="R111" s="584">
        <v>2</v>
      </c>
      <c r="S111" s="584">
        <v>2</v>
      </c>
      <c r="T111" s="584">
        <v>2</v>
      </c>
      <c r="U111" s="584">
        <v>2</v>
      </c>
      <c r="V111" s="584"/>
      <c r="W111" s="584"/>
      <c r="X111" s="464"/>
      <c r="Y111" s="469"/>
      <c r="Z111" s="470"/>
      <c r="AA111" s="469"/>
      <c r="AB111" s="470"/>
      <c r="AC111" s="469"/>
      <c r="AD111" s="470"/>
      <c r="AE111" s="469"/>
      <c r="AG111" s="446"/>
      <c r="AH111" s="446"/>
    </row>
    <row r="112" spans="2:34" s="302" customFormat="1" ht="12" outlineLevel="1" x14ac:dyDescent="0.2">
      <c r="B112" s="304"/>
      <c r="C112" s="535" t="s">
        <v>538</v>
      </c>
      <c r="D112" s="535" t="s">
        <v>549</v>
      </c>
      <c r="E112" s="618">
        <v>30</v>
      </c>
      <c r="F112" s="486" t="s">
        <v>84</v>
      </c>
      <c r="G112" s="667"/>
      <c r="H112" s="668">
        <f t="shared" si="100"/>
        <v>0</v>
      </c>
      <c r="I112" s="486" t="s">
        <v>84</v>
      </c>
      <c r="J112" s="467">
        <f t="shared" ref="J112" si="102">E112*SUM(L112:W112)</f>
        <v>0</v>
      </c>
      <c r="K112" s="468">
        <f t="shared" ref="K112" si="103">E112*SUM(L112:W112)</f>
        <v>0</v>
      </c>
      <c r="L112" s="584"/>
      <c r="M112" s="584"/>
      <c r="N112" s="584"/>
      <c r="O112" s="584"/>
      <c r="P112" s="584"/>
      <c r="Q112" s="584"/>
      <c r="R112" s="584"/>
      <c r="S112" s="584"/>
      <c r="T112" s="584"/>
      <c r="U112" s="584"/>
      <c r="V112" s="584"/>
      <c r="W112" s="584"/>
      <c r="X112" s="464"/>
      <c r="Y112" s="469"/>
      <c r="Z112" s="470"/>
      <c r="AA112" s="469"/>
      <c r="AB112" s="470"/>
      <c r="AC112" s="469"/>
      <c r="AD112" s="470"/>
      <c r="AE112" s="469"/>
      <c r="AG112" s="446"/>
      <c r="AH112" s="446"/>
    </row>
    <row r="113" spans="2:34" s="302" customFormat="1" ht="12" outlineLevel="1" x14ac:dyDescent="0.2">
      <c r="B113" s="304"/>
      <c r="C113" s="539"/>
      <c r="D113" s="539"/>
      <c r="E113" s="540"/>
      <c r="F113" s="486" t="s">
        <v>84</v>
      </c>
      <c r="G113" s="667"/>
      <c r="H113" s="668">
        <f t="shared" ref="H113" si="104">IF(COUNTA(G113)=1,K113,0)</f>
        <v>0</v>
      </c>
      <c r="I113" s="486" t="s">
        <v>84</v>
      </c>
      <c r="J113" s="467">
        <f t="shared" si="98"/>
        <v>0</v>
      </c>
      <c r="K113" s="468">
        <f t="shared" si="99"/>
        <v>0</v>
      </c>
      <c r="L113" s="585"/>
      <c r="M113" s="585"/>
      <c r="N113" s="585"/>
      <c r="O113" s="585"/>
      <c r="P113" s="585"/>
      <c r="Q113" s="585"/>
      <c r="R113" s="585"/>
      <c r="S113" s="585"/>
      <c r="T113" s="585"/>
      <c r="U113" s="585"/>
      <c r="V113" s="585"/>
      <c r="W113" s="585"/>
      <c r="X113" s="464"/>
      <c r="Y113" s="469">
        <f t="shared" ref="Y113" si="105">IF(J113="","",J113*(1+Y$7))</f>
        <v>0</v>
      </c>
      <c r="Z113" s="470"/>
      <c r="AA113" s="469">
        <f t="shared" ref="AA113" si="106">IF(Y113="","",Y113*(1+AA$7))</f>
        <v>0</v>
      </c>
      <c r="AB113" s="470"/>
      <c r="AC113" s="469">
        <f t="shared" ref="AC113" si="107">IF(AA113="","",AA113*(1+AC$7))</f>
        <v>0</v>
      </c>
      <c r="AD113" s="470"/>
      <c r="AE113" s="469">
        <f t="shared" ref="AE113" si="108">IF(AC113="","",AC113*(1+AE$7))</f>
        <v>0</v>
      </c>
      <c r="AG113" s="446"/>
      <c r="AH113" s="446"/>
    </row>
    <row r="114" spans="2:34" s="302" customFormat="1" ht="6.6" customHeight="1" outlineLevel="1" thickBot="1" x14ac:dyDescent="0.25">
      <c r="B114" s="304"/>
      <c r="C114" s="306"/>
      <c r="D114" s="306"/>
      <c r="E114" s="305"/>
      <c r="F114" s="484"/>
      <c r="G114" s="484"/>
      <c r="H114" s="484"/>
      <c r="I114" s="473"/>
      <c r="J114" s="474"/>
      <c r="K114" s="475"/>
      <c r="L114" s="586"/>
      <c r="M114" s="586"/>
      <c r="N114" s="586"/>
      <c r="O114" s="586"/>
      <c r="P114" s="586"/>
      <c r="Q114" s="586"/>
      <c r="R114" s="586"/>
      <c r="S114" s="586"/>
      <c r="T114" s="586"/>
      <c r="U114" s="586"/>
      <c r="V114" s="586"/>
      <c r="W114" s="586"/>
      <c r="X114" s="375"/>
      <c r="Y114" s="476"/>
      <c r="Z114" s="307"/>
      <c r="AA114" s="476"/>
      <c r="AB114" s="307"/>
      <c r="AC114" s="476"/>
      <c r="AD114" s="307"/>
      <c r="AE114" s="476"/>
      <c r="AG114" s="446"/>
      <c r="AH114" s="446"/>
    </row>
    <row r="115" spans="2:34" s="311" customFormat="1" ht="12.75" thickBot="1" x14ac:dyDescent="0.25">
      <c r="B115" s="303"/>
      <c r="C115" s="306" t="str">
        <f>C102</f>
        <v>Extra Duties: Other Classified/Support Staff</v>
      </c>
      <c r="D115" s="477"/>
      <c r="E115" s="478"/>
      <c r="F115" s="633">
        <v>6167</v>
      </c>
      <c r="G115" s="633"/>
      <c r="H115" s="633"/>
      <c r="I115" s="634"/>
      <c r="J115" s="631">
        <f>SUBTOTAL(9,J103:J114)</f>
        <v>2500</v>
      </c>
      <c r="K115" s="632">
        <f>SUBTOTAL(9,K103:K114)</f>
        <v>2500</v>
      </c>
      <c r="L115" s="622">
        <f>SUMPRODUCT(Payroll!$E$104:$E$114,Payroll!L104:L114)</f>
        <v>0</v>
      </c>
      <c r="M115" s="622">
        <f>SUMPRODUCT(Payroll!$E$104:$E$114,Payroll!M104:M114)</f>
        <v>0</v>
      </c>
      <c r="N115" s="622">
        <f>SUMPRODUCT(Payroll!$E$104:$E$114,Payroll!N104:N114)</f>
        <v>0</v>
      </c>
      <c r="O115" s="622">
        <f>SUMPRODUCT(Payroll!$E$104:$E$114,Payroll!O104:O114)</f>
        <v>0</v>
      </c>
      <c r="P115" s="622">
        <f>SUMPRODUCT(Payroll!$E$104:$E$114,Payroll!P104:P114)</f>
        <v>0</v>
      </c>
      <c r="Q115" s="622">
        <f>SUMPRODUCT(Payroll!$E$104:$E$114,Payroll!Q104:Q114)</f>
        <v>500</v>
      </c>
      <c r="R115" s="622">
        <f>SUMPRODUCT(Payroll!$E$104:$E$114,Payroll!R104:R114)</f>
        <v>500</v>
      </c>
      <c r="S115" s="622">
        <f>SUMPRODUCT(Payroll!$E$104:$E$114,Payroll!S104:S114)</f>
        <v>500</v>
      </c>
      <c r="T115" s="622">
        <f>SUMPRODUCT(Payroll!$E$104:$E$114,Payroll!T104:T114)</f>
        <v>500</v>
      </c>
      <c r="U115" s="622">
        <f>SUMPRODUCT(Payroll!$E$104:$E$114,Payroll!U104:U114)</f>
        <v>500</v>
      </c>
      <c r="V115" s="622">
        <f>SUMPRODUCT(Payroll!$E$104:$E$114,Payroll!V104:V114)</f>
        <v>0</v>
      </c>
      <c r="W115" s="622">
        <f>SUMPRODUCT(Payroll!$E$104:$E$114,Payroll!W104:W114)</f>
        <v>0</v>
      </c>
      <c r="X115" s="547"/>
      <c r="Y115" s="545">
        <f>SUBTOTAL(9,Y103:Y114)</f>
        <v>306</v>
      </c>
      <c r="Z115" s="546"/>
      <c r="AA115" s="545">
        <f>SUBTOTAL(9,AA103:AA114)</f>
        <v>312.12</v>
      </c>
      <c r="AB115" s="546"/>
      <c r="AC115" s="545">
        <f>SUBTOTAL(9,AC103:AC114)</f>
        <v>318.36240000000004</v>
      </c>
      <c r="AD115" s="546"/>
      <c r="AE115" s="545">
        <f>SUBTOTAL(9,AE103:AE114)</f>
        <v>324.72964800000005</v>
      </c>
      <c r="AG115" s="482">
        <v>0.01</v>
      </c>
      <c r="AH115" s="482">
        <f>K115-AG115</f>
        <v>2499.9899999999998</v>
      </c>
    </row>
    <row r="116" spans="2:34" s="311" customFormat="1" ht="12" x14ac:dyDescent="0.2">
      <c r="B116" s="303"/>
      <c r="C116" s="491" t="s">
        <v>236</v>
      </c>
      <c r="D116" s="491"/>
      <c r="E116" s="492"/>
      <c r="F116" s="402"/>
      <c r="G116" s="402"/>
      <c r="H116" s="402"/>
      <c r="I116" s="493"/>
      <c r="J116" s="474">
        <f>SUBTOTAL(9,J8:J115)</f>
        <v>1240144.3389999999</v>
      </c>
      <c r="K116" s="341">
        <f>SUBTOTAL(9,K8:K115)</f>
        <v>1182542.9889999998</v>
      </c>
      <c r="L116" s="414">
        <f t="shared" ref="L116:W116" si="109">L115+L101+L89+L83+L67+L54+L48+L41+L24+L13</f>
        <v>91707.082416666672</v>
      </c>
      <c r="M116" s="414">
        <f t="shared" si="109"/>
        <v>96087.082416666672</v>
      </c>
      <c r="N116" s="414">
        <f t="shared" si="109"/>
        <v>96813.082416666672</v>
      </c>
      <c r="O116" s="414">
        <f t="shared" si="109"/>
        <v>99853.082416666672</v>
      </c>
      <c r="P116" s="414">
        <f t="shared" si="109"/>
        <v>98403.082416666672</v>
      </c>
      <c r="Q116" s="414">
        <f t="shared" si="109"/>
        <v>96973.082416666672</v>
      </c>
      <c r="R116" s="414">
        <f t="shared" si="109"/>
        <v>99673.082416666672</v>
      </c>
      <c r="S116" s="414">
        <f t="shared" si="109"/>
        <v>96883.082416666672</v>
      </c>
      <c r="T116" s="414">
        <f t="shared" si="109"/>
        <v>98813.082416666672</v>
      </c>
      <c r="U116" s="414">
        <f t="shared" si="109"/>
        <v>100513.08241666667</v>
      </c>
      <c r="V116" s="414">
        <f t="shared" si="109"/>
        <v>100517.08241666667</v>
      </c>
      <c r="W116" s="414">
        <f t="shared" si="109"/>
        <v>116207.08241666667</v>
      </c>
      <c r="X116" s="495"/>
      <c r="Y116" s="494">
        <f>SUBTOTAL(9,Y8:Y115)</f>
        <v>1210169.1457800004</v>
      </c>
      <c r="Z116" s="477"/>
      <c r="AA116" s="494">
        <f>SUBTOTAL(9,AA8:AA115)</f>
        <v>1234372.5286956003</v>
      </c>
      <c r="AB116" s="477"/>
      <c r="AC116" s="494">
        <f>SUBTOTAL(9,AC8:AC115)</f>
        <v>1259059.9792695122</v>
      </c>
      <c r="AD116" s="477"/>
      <c r="AE116" s="494">
        <f>SUBTOTAL(9,AE8:AE115)</f>
        <v>1284241.1788549025</v>
      </c>
      <c r="AG116" s="446"/>
      <c r="AH116" s="446"/>
    </row>
    <row r="117" spans="2:34" s="302" customFormat="1" ht="12" x14ac:dyDescent="0.2">
      <c r="B117" s="304"/>
      <c r="E117" s="321"/>
      <c r="F117" s="381"/>
      <c r="G117" s="381"/>
      <c r="H117" s="381"/>
      <c r="I117" s="345"/>
      <c r="K117" s="344"/>
      <c r="L117" s="580"/>
      <c r="M117" s="580"/>
      <c r="N117" s="580"/>
      <c r="O117" s="580"/>
      <c r="P117" s="580"/>
      <c r="Q117" s="580"/>
      <c r="R117" s="580"/>
      <c r="S117" s="580"/>
      <c r="T117" s="580"/>
      <c r="U117" s="580"/>
      <c r="V117" s="580"/>
      <c r="W117" s="580"/>
      <c r="X117" s="376"/>
      <c r="Z117" s="304"/>
      <c r="AB117" s="304"/>
      <c r="AD117" s="304"/>
      <c r="AG117" s="446"/>
      <c r="AH117" s="446"/>
    </row>
    <row r="118" spans="2:34" s="302" customFormat="1" ht="12" x14ac:dyDescent="0.2">
      <c r="B118" s="712" t="s">
        <v>85</v>
      </c>
      <c r="C118" s="713"/>
      <c r="D118" s="713"/>
      <c r="E118" s="713"/>
      <c r="F118" s="713"/>
      <c r="G118" s="713"/>
      <c r="H118" s="713"/>
      <c r="I118" s="713"/>
      <c r="J118" s="713"/>
      <c r="K118" s="713"/>
      <c r="L118" s="713"/>
      <c r="M118" s="713"/>
      <c r="N118" s="713"/>
      <c r="O118" s="713"/>
      <c r="P118" s="713"/>
      <c r="Q118" s="713"/>
      <c r="R118" s="713"/>
      <c r="S118" s="713"/>
      <c r="T118" s="713"/>
      <c r="U118" s="713"/>
      <c r="V118" s="713"/>
      <c r="W118" s="713"/>
      <c r="X118" s="713"/>
      <c r="Y118" s="713"/>
      <c r="Z118" s="713"/>
      <c r="AA118" s="713"/>
      <c r="AB118" s="713"/>
      <c r="AC118" s="713"/>
      <c r="AD118" s="713"/>
      <c r="AE118" s="714"/>
      <c r="AG118" s="471"/>
      <c r="AH118" s="471"/>
    </row>
    <row r="119" spans="2:34" s="302" customFormat="1" ht="12" x14ac:dyDescent="0.2">
      <c r="B119" s="477"/>
      <c r="C119" s="477"/>
      <c r="D119" s="477"/>
      <c r="E119" s="478"/>
      <c r="F119" s="382" t="s">
        <v>565</v>
      </c>
      <c r="G119" s="382"/>
      <c r="H119" s="382"/>
      <c r="I119" s="493"/>
      <c r="K119" s="496"/>
      <c r="L119" s="588"/>
      <c r="M119" s="588"/>
      <c r="N119" s="588"/>
      <c r="O119" s="588"/>
      <c r="P119" s="588"/>
      <c r="Q119" s="588"/>
      <c r="R119" s="588"/>
      <c r="S119" s="588"/>
      <c r="T119" s="588"/>
      <c r="U119" s="588"/>
      <c r="V119" s="588"/>
      <c r="W119" s="588"/>
      <c r="X119" s="495"/>
      <c r="Y119" s="477"/>
      <c r="Z119" s="477"/>
      <c r="AA119" s="477"/>
      <c r="AB119" s="477"/>
      <c r="AC119" s="477"/>
      <c r="AD119" s="477"/>
      <c r="AE119" s="477"/>
      <c r="AG119" s="446"/>
      <c r="AH119" s="446"/>
    </row>
    <row r="120" spans="2:34" s="302" customFormat="1" ht="12" x14ac:dyDescent="0.2">
      <c r="B120" s="303"/>
      <c r="C120" s="302" t="s">
        <v>89</v>
      </c>
      <c r="E120" s="321"/>
      <c r="F120" s="380">
        <v>2</v>
      </c>
      <c r="G120" s="665"/>
      <c r="H120" s="665"/>
      <c r="I120" s="345"/>
      <c r="K120" s="340">
        <f>F120*12</f>
        <v>24</v>
      </c>
      <c r="L120" s="521"/>
      <c r="M120" s="521"/>
      <c r="N120" s="521"/>
      <c r="O120" s="521"/>
      <c r="P120" s="521"/>
      <c r="Q120" s="521"/>
      <c r="R120" s="521"/>
      <c r="S120" s="521"/>
      <c r="T120" s="521"/>
      <c r="U120" s="521"/>
      <c r="V120" s="521"/>
      <c r="W120" s="521"/>
      <c r="X120" s="378"/>
      <c r="Y120" s="305">
        <f>K120*(1+Y$7)</f>
        <v>24.48</v>
      </c>
      <c r="Z120" s="306"/>
      <c r="AA120" s="305">
        <f>Y120*(1+AA$7)</f>
        <v>24.9696</v>
      </c>
      <c r="AB120" s="307"/>
      <c r="AC120" s="305">
        <f>AA120*(1+AC$7)</f>
        <v>25.468992</v>
      </c>
      <c r="AD120" s="307"/>
      <c r="AE120" s="305">
        <f>AC120*(1+AE$7)</f>
        <v>25.978371840000001</v>
      </c>
      <c r="AG120" s="446"/>
      <c r="AH120" s="446"/>
    </row>
    <row r="121" spans="2:34" s="302" customFormat="1" ht="12" x14ac:dyDescent="0.2">
      <c r="B121" s="303"/>
      <c r="C121" s="302" t="s">
        <v>90</v>
      </c>
      <c r="E121" s="321"/>
      <c r="F121" s="380">
        <v>12</v>
      </c>
      <c r="G121" s="665"/>
      <c r="H121" s="665"/>
      <c r="I121" s="345"/>
      <c r="K121" s="340">
        <f>F121*12</f>
        <v>144</v>
      </c>
      <c r="L121" s="521"/>
      <c r="M121" s="521"/>
      <c r="N121" s="521"/>
      <c r="O121" s="521"/>
      <c r="P121" s="521"/>
      <c r="Q121" s="521"/>
      <c r="R121" s="521"/>
      <c r="S121" s="521"/>
      <c r="T121" s="521"/>
      <c r="U121" s="521"/>
      <c r="V121" s="521"/>
      <c r="W121" s="521"/>
      <c r="X121" s="378"/>
      <c r="Y121" s="305">
        <f>K121*(1+Y$7)</f>
        <v>146.88</v>
      </c>
      <c r="Z121" s="306"/>
      <c r="AA121" s="305">
        <f t="shared" ref="AA121:AE122" si="110">Y121*(1+AA$7)</f>
        <v>149.8176</v>
      </c>
      <c r="AB121" s="307"/>
      <c r="AC121" s="305">
        <f t="shared" si="110"/>
        <v>152.813952</v>
      </c>
      <c r="AD121" s="307"/>
      <c r="AE121" s="305">
        <f t="shared" si="110"/>
        <v>155.87023103999999</v>
      </c>
      <c r="AG121" s="446"/>
      <c r="AH121" s="446"/>
    </row>
    <row r="122" spans="2:34" s="302" customFormat="1" ht="12" x14ac:dyDescent="0.2">
      <c r="B122" s="303"/>
      <c r="C122" s="302" t="s">
        <v>91</v>
      </c>
      <c r="E122" s="321"/>
      <c r="F122" s="380">
        <v>23</v>
      </c>
      <c r="G122" s="665"/>
      <c r="H122" s="665"/>
      <c r="I122" s="345"/>
      <c r="K122" s="340">
        <f>F122*12</f>
        <v>276</v>
      </c>
      <c r="L122" s="521"/>
      <c r="M122" s="521"/>
      <c r="N122" s="521"/>
      <c r="O122" s="521"/>
      <c r="P122" s="521"/>
      <c r="Q122" s="521"/>
      <c r="R122" s="521"/>
      <c r="S122" s="521"/>
      <c r="T122" s="521"/>
      <c r="U122" s="521"/>
      <c r="V122" s="521"/>
      <c r="W122" s="521"/>
      <c r="X122" s="378"/>
      <c r="Y122" s="305">
        <f>K122*(1+Y$7)</f>
        <v>281.52</v>
      </c>
      <c r="Z122" s="306"/>
      <c r="AA122" s="305">
        <f t="shared" si="110"/>
        <v>287.15039999999999</v>
      </c>
      <c r="AB122" s="307"/>
      <c r="AC122" s="305">
        <f t="shared" si="110"/>
        <v>292.89340800000002</v>
      </c>
      <c r="AD122" s="307"/>
      <c r="AE122" s="305">
        <f t="shared" si="110"/>
        <v>298.75127616000003</v>
      </c>
      <c r="AG122" s="446"/>
      <c r="AH122" s="446"/>
    </row>
    <row r="123" spans="2:34" s="302" customFormat="1" ht="12" x14ac:dyDescent="0.2">
      <c r="B123" s="303"/>
      <c r="C123" s="308" t="s">
        <v>88</v>
      </c>
      <c r="E123" s="321"/>
      <c r="F123" s="646">
        <f>SUM(F120:F122)</f>
        <v>37</v>
      </c>
      <c r="G123" s="646"/>
      <c r="H123" s="646"/>
      <c r="I123" s="345"/>
      <c r="K123" s="341">
        <f>SUM(K120:K122)</f>
        <v>444</v>
      </c>
      <c r="L123" s="587"/>
      <c r="M123" s="587"/>
      <c r="N123" s="587"/>
      <c r="O123" s="587"/>
      <c r="P123" s="587"/>
      <c r="Q123" s="587"/>
      <c r="R123" s="587"/>
      <c r="S123" s="587"/>
      <c r="T123" s="587"/>
      <c r="U123" s="587"/>
      <c r="V123" s="587"/>
      <c r="W123" s="587"/>
      <c r="X123" s="375"/>
      <c r="Y123" s="309">
        <f>SUM(Y120:Y122)</f>
        <v>452.88</v>
      </c>
      <c r="Z123" s="307"/>
      <c r="AA123" s="309">
        <f>SUM(AA120:AA122)</f>
        <v>461.93759999999997</v>
      </c>
      <c r="AB123" s="307"/>
      <c r="AC123" s="309">
        <f>SUM(AC120:AC122)</f>
        <v>471.17635200000001</v>
      </c>
      <c r="AD123" s="307"/>
      <c r="AE123" s="309">
        <f>SUM(AE120:AE122)</f>
        <v>480.59987904000002</v>
      </c>
      <c r="AG123" s="446"/>
      <c r="AH123" s="446"/>
    </row>
    <row r="124" spans="2:34" s="302" customFormat="1" ht="12" x14ac:dyDescent="0.2">
      <c r="B124" s="303"/>
      <c r="C124" s="308"/>
      <c r="E124" s="321"/>
      <c r="F124" s="381"/>
      <c r="G124" s="381"/>
      <c r="H124" s="381"/>
      <c r="I124" s="345"/>
      <c r="K124" s="342"/>
      <c r="L124" s="589"/>
      <c r="M124" s="589"/>
      <c r="N124" s="589"/>
      <c r="O124" s="589"/>
      <c r="P124" s="589"/>
      <c r="Q124" s="589"/>
      <c r="R124" s="589"/>
      <c r="S124" s="589"/>
      <c r="T124" s="589"/>
      <c r="U124" s="589"/>
      <c r="V124" s="589"/>
      <c r="W124" s="589"/>
      <c r="X124" s="376"/>
      <c r="Y124" s="310"/>
      <c r="Z124" s="304"/>
      <c r="AA124" s="310"/>
      <c r="AB124" s="304"/>
      <c r="AC124" s="310"/>
      <c r="AD124" s="304"/>
      <c r="AG124" s="446"/>
      <c r="AH124" s="446"/>
    </row>
    <row r="125" spans="2:34" s="302" customFormat="1" ht="12" x14ac:dyDescent="0.2">
      <c r="B125" s="303"/>
      <c r="C125" s="311" t="s">
        <v>86</v>
      </c>
      <c r="E125" s="321"/>
      <c r="F125" s="381"/>
      <c r="G125" s="381"/>
      <c r="H125" s="381"/>
      <c r="I125" s="345"/>
      <c r="K125" s="312">
        <v>6.2E-2</v>
      </c>
      <c r="L125" s="590"/>
      <c r="M125" s="590"/>
      <c r="N125" s="590"/>
      <c r="O125" s="590"/>
      <c r="P125" s="590"/>
      <c r="Q125" s="590"/>
      <c r="R125" s="590"/>
      <c r="S125" s="590"/>
      <c r="T125" s="590"/>
      <c r="U125" s="590"/>
      <c r="V125" s="590"/>
      <c r="W125" s="590"/>
      <c r="X125" s="376"/>
      <c r="Y125" s="314">
        <f t="shared" ref="Y125:Y130" si="111">K125</f>
        <v>6.2E-2</v>
      </c>
      <c r="Z125" s="304"/>
      <c r="AA125" s="314">
        <f>Y125</f>
        <v>6.2E-2</v>
      </c>
      <c r="AB125" s="304"/>
      <c r="AC125" s="314">
        <f>AA125</f>
        <v>6.2E-2</v>
      </c>
      <c r="AD125" s="304"/>
      <c r="AE125" s="314">
        <f>AC125</f>
        <v>6.2E-2</v>
      </c>
      <c r="AG125" s="446"/>
      <c r="AH125" s="446"/>
    </row>
    <row r="126" spans="2:34" s="302" customFormat="1" ht="12" x14ac:dyDescent="0.2">
      <c r="B126" s="303"/>
      <c r="C126" s="311" t="s">
        <v>246</v>
      </c>
      <c r="E126" s="608">
        <v>1.1520269999999999</v>
      </c>
      <c r="F126" s="381"/>
      <c r="G126" s="381"/>
      <c r="H126" s="381"/>
      <c r="I126" s="345"/>
      <c r="K126" s="312">
        <v>0.1525</v>
      </c>
      <c r="L126" s="586"/>
      <c r="M126" s="586"/>
      <c r="N126" s="586"/>
      <c r="O126" s="586"/>
      <c r="P126" s="586"/>
      <c r="Q126" s="586"/>
      <c r="R126" s="586"/>
      <c r="S126" s="586"/>
      <c r="T126" s="586"/>
      <c r="U126" s="586"/>
      <c r="V126" s="586"/>
      <c r="W126" s="586"/>
      <c r="X126" s="376"/>
      <c r="Y126" s="314">
        <f t="shared" si="111"/>
        <v>0.1525</v>
      </c>
      <c r="Z126" s="304"/>
      <c r="AA126" s="314">
        <f>Y126</f>
        <v>0.1525</v>
      </c>
      <c r="AB126" s="304"/>
      <c r="AC126" s="314">
        <f>AA126</f>
        <v>0.1525</v>
      </c>
      <c r="AD126" s="304"/>
      <c r="AE126" s="314">
        <f>AC126</f>
        <v>0.1525</v>
      </c>
      <c r="AG126" s="446"/>
      <c r="AH126" s="446"/>
    </row>
    <row r="127" spans="2:34" s="302" customFormat="1" ht="12" x14ac:dyDescent="0.2">
      <c r="B127" s="303"/>
      <c r="C127" s="311" t="s">
        <v>247</v>
      </c>
      <c r="E127" s="608">
        <v>6.2500000000000003E-3</v>
      </c>
      <c r="F127" s="381"/>
      <c r="G127" s="381"/>
      <c r="H127" s="381"/>
      <c r="I127" s="345"/>
      <c r="K127" s="312">
        <v>0.29249999999999998</v>
      </c>
      <c r="L127" s="586"/>
      <c r="M127" s="586"/>
      <c r="N127" s="586"/>
      <c r="O127" s="586"/>
      <c r="P127" s="586"/>
      <c r="Q127" s="586"/>
      <c r="R127" s="586"/>
      <c r="S127" s="586"/>
      <c r="T127" s="586"/>
      <c r="U127" s="586"/>
      <c r="V127" s="586"/>
      <c r="W127" s="586"/>
      <c r="X127" s="376"/>
      <c r="Y127" s="314">
        <f t="shared" si="111"/>
        <v>0.29249999999999998</v>
      </c>
      <c r="Z127" s="304"/>
      <c r="AA127" s="314">
        <f>Y127</f>
        <v>0.29249999999999998</v>
      </c>
      <c r="AB127" s="304"/>
      <c r="AC127" s="314">
        <f>AA127</f>
        <v>0.29249999999999998</v>
      </c>
      <c r="AD127" s="304"/>
      <c r="AE127" s="314">
        <f>AC127</f>
        <v>0.29249999999999998</v>
      </c>
      <c r="AG127" s="471"/>
      <c r="AH127" s="471"/>
    </row>
    <row r="128" spans="2:34" s="302" customFormat="1" ht="12" x14ac:dyDescent="0.2">
      <c r="B128" s="303"/>
      <c r="C128" s="311" t="s">
        <v>82</v>
      </c>
      <c r="E128" s="321"/>
      <c r="F128" s="381"/>
      <c r="G128" s="381"/>
      <c r="H128" s="381"/>
      <c r="I128" s="345"/>
      <c r="K128" s="312">
        <v>1.4500000000000001E-2</v>
      </c>
      <c r="L128" s="586"/>
      <c r="M128" s="586"/>
      <c r="N128" s="586"/>
      <c r="O128" s="586"/>
      <c r="P128" s="586"/>
      <c r="Q128" s="586"/>
      <c r="R128" s="586"/>
      <c r="S128" s="586"/>
      <c r="T128" s="586"/>
      <c r="U128" s="586"/>
      <c r="V128" s="586"/>
      <c r="W128" s="586"/>
      <c r="X128" s="376"/>
      <c r="Y128" s="314">
        <f t="shared" si="111"/>
        <v>1.4500000000000001E-2</v>
      </c>
      <c r="Z128" s="304"/>
      <c r="AA128" s="314">
        <f t="shared" ref="AA128:AE130" si="112">Y128</f>
        <v>1.4500000000000001E-2</v>
      </c>
      <c r="AB128" s="304"/>
      <c r="AC128" s="314">
        <f t="shared" si="112"/>
        <v>1.4500000000000001E-2</v>
      </c>
      <c r="AD128" s="304"/>
      <c r="AE128" s="314">
        <f t="shared" si="112"/>
        <v>1.4500000000000001E-2</v>
      </c>
      <c r="AG128" s="446"/>
      <c r="AH128" s="446"/>
    </row>
    <row r="129" spans="2:41" s="302" customFormat="1" ht="12" x14ac:dyDescent="0.2">
      <c r="B129" s="303"/>
      <c r="C129" s="311" t="s">
        <v>387</v>
      </c>
      <c r="E129" s="321"/>
      <c r="F129" s="381"/>
      <c r="G129" s="381"/>
      <c r="H129" s="381"/>
      <c r="I129" s="345"/>
      <c r="K129" s="312">
        <v>1.4999999999999999E-2</v>
      </c>
      <c r="L129" s="586"/>
      <c r="M129" s="586"/>
      <c r="N129" s="586"/>
      <c r="O129" s="586"/>
      <c r="P129" s="586"/>
      <c r="Q129" s="586"/>
      <c r="R129" s="586"/>
      <c r="S129" s="586"/>
      <c r="T129" s="586"/>
      <c r="U129" s="586"/>
      <c r="V129" s="586"/>
      <c r="W129" s="586"/>
      <c r="X129" s="376"/>
      <c r="Y129" s="314">
        <f t="shared" si="111"/>
        <v>1.4999999999999999E-2</v>
      </c>
      <c r="Z129" s="304"/>
      <c r="AA129" s="314">
        <f t="shared" si="112"/>
        <v>1.4999999999999999E-2</v>
      </c>
      <c r="AB129" s="304"/>
      <c r="AC129" s="314">
        <f t="shared" si="112"/>
        <v>1.4999999999999999E-2</v>
      </c>
      <c r="AD129" s="304"/>
      <c r="AE129" s="314">
        <f t="shared" si="112"/>
        <v>1.4999999999999999E-2</v>
      </c>
      <c r="AG129" s="446"/>
      <c r="AH129" s="446"/>
    </row>
    <row r="130" spans="2:41" s="302" customFormat="1" ht="12" x14ac:dyDescent="0.2">
      <c r="B130" s="303"/>
      <c r="C130" s="311" t="s">
        <v>83</v>
      </c>
      <c r="E130" s="321"/>
      <c r="F130" s="381"/>
      <c r="G130" s="381"/>
      <c r="H130" s="381"/>
      <c r="I130" s="345"/>
      <c r="K130" s="312">
        <v>7.4999999999999997E-3</v>
      </c>
      <c r="L130" s="586"/>
      <c r="M130" s="586"/>
      <c r="N130" s="586"/>
      <c r="O130" s="586"/>
      <c r="P130" s="586"/>
      <c r="Q130" s="586"/>
      <c r="R130" s="586"/>
      <c r="S130" s="586"/>
      <c r="T130" s="586"/>
      <c r="U130" s="586"/>
      <c r="V130" s="586"/>
      <c r="W130" s="586"/>
      <c r="X130" s="376"/>
      <c r="Y130" s="314">
        <f t="shared" si="111"/>
        <v>7.4999999999999997E-3</v>
      </c>
      <c r="Z130" s="304"/>
      <c r="AA130" s="314">
        <f t="shared" si="112"/>
        <v>7.4999999999999997E-3</v>
      </c>
      <c r="AB130" s="304"/>
      <c r="AC130" s="314">
        <f t="shared" si="112"/>
        <v>7.4999999999999997E-3</v>
      </c>
      <c r="AD130" s="304"/>
      <c r="AE130" s="314">
        <f t="shared" si="112"/>
        <v>7.4999999999999997E-3</v>
      </c>
      <c r="AG130" s="446"/>
      <c r="AH130" s="446"/>
    </row>
    <row r="131" spans="2:41" s="316" customFormat="1" ht="12" x14ac:dyDescent="0.2">
      <c r="B131" s="317"/>
      <c r="C131" s="318" t="s">
        <v>87</v>
      </c>
      <c r="D131" s="318"/>
      <c r="E131" s="322"/>
      <c r="F131" s="382" t="s">
        <v>565</v>
      </c>
      <c r="G131" s="382"/>
      <c r="H131" s="382"/>
      <c r="I131" s="346"/>
      <c r="K131" s="343" t="s">
        <v>84</v>
      </c>
      <c r="L131" s="591"/>
      <c r="M131" s="591"/>
      <c r="N131" s="591"/>
      <c r="O131" s="591"/>
      <c r="P131" s="591"/>
      <c r="Q131" s="591"/>
      <c r="R131" s="591"/>
      <c r="S131" s="591"/>
      <c r="T131" s="591"/>
      <c r="U131" s="591"/>
      <c r="V131" s="591"/>
      <c r="W131" s="591"/>
      <c r="X131" s="377"/>
      <c r="Y131" s="320">
        <v>0.1</v>
      </c>
      <c r="Z131" s="319"/>
      <c r="AA131" s="320">
        <v>0.1</v>
      </c>
      <c r="AB131" s="319"/>
      <c r="AC131" s="320">
        <v>0.1</v>
      </c>
      <c r="AD131" s="319"/>
      <c r="AE131" s="320">
        <v>0.1</v>
      </c>
      <c r="AG131" s="446"/>
      <c r="AH131" s="446"/>
    </row>
    <row r="132" spans="2:41" s="316" customFormat="1" ht="12" x14ac:dyDescent="0.2">
      <c r="B132" s="317"/>
      <c r="C132" s="302" t="s">
        <v>92</v>
      </c>
      <c r="D132" s="302"/>
      <c r="E132" s="321"/>
      <c r="F132" s="383">
        <v>350</v>
      </c>
      <c r="G132" s="666"/>
      <c r="H132" s="666"/>
      <c r="I132" s="345"/>
      <c r="K132" s="340">
        <f>F132*12</f>
        <v>4200</v>
      </c>
      <c r="L132" s="521"/>
      <c r="M132" s="521"/>
      <c r="N132" s="521"/>
      <c r="O132" s="521"/>
      <c r="P132" s="521"/>
      <c r="Q132" s="521"/>
      <c r="R132" s="521"/>
      <c r="S132" s="521"/>
      <c r="T132" s="521"/>
      <c r="U132" s="521"/>
      <c r="V132" s="521"/>
      <c r="W132" s="521"/>
      <c r="X132" s="379"/>
      <c r="Y132" s="305">
        <f>K132*(1+Y$131)</f>
        <v>4620</v>
      </c>
      <c r="Z132" s="306"/>
      <c r="AA132" s="305">
        <f>Y132*(1+AA$131)</f>
        <v>5082</v>
      </c>
      <c r="AB132" s="307"/>
      <c r="AC132" s="305">
        <f>AA132*(1+AC$131)</f>
        <v>5590.2000000000007</v>
      </c>
      <c r="AD132" s="307"/>
      <c r="AE132" s="305">
        <f>AC132*(1+AE$131)</f>
        <v>6149.2200000000012</v>
      </c>
      <c r="AG132" s="446"/>
      <c r="AH132" s="446"/>
    </row>
    <row r="133" spans="2:41" s="316" customFormat="1" ht="12" x14ac:dyDescent="0.2">
      <c r="B133" s="317"/>
      <c r="C133" s="302" t="s">
        <v>93</v>
      </c>
      <c r="D133" s="302"/>
      <c r="E133" s="321"/>
      <c r="F133" s="383">
        <v>35</v>
      </c>
      <c r="G133" s="666"/>
      <c r="H133" s="666"/>
      <c r="I133" s="345"/>
      <c r="K133" s="340">
        <f>F133*12</f>
        <v>420</v>
      </c>
      <c r="L133" s="521"/>
      <c r="M133" s="521"/>
      <c r="N133" s="521"/>
      <c r="O133" s="521"/>
      <c r="P133" s="521"/>
      <c r="Q133" s="521"/>
      <c r="R133" s="521"/>
      <c r="S133" s="521"/>
      <c r="T133" s="521"/>
      <c r="U133" s="521"/>
      <c r="V133" s="521"/>
      <c r="W133" s="521"/>
      <c r="X133" s="379"/>
      <c r="Y133" s="305">
        <f>K133*(1+Y$131)</f>
        <v>462.00000000000006</v>
      </c>
      <c r="Z133" s="306"/>
      <c r="AA133" s="305">
        <f t="shared" ref="AA133:AE134" si="113">Y133*(1+AA$131)</f>
        <v>508.2000000000001</v>
      </c>
      <c r="AB133" s="307"/>
      <c r="AC133" s="305">
        <f t="shared" si="113"/>
        <v>559.02000000000021</v>
      </c>
      <c r="AD133" s="307"/>
      <c r="AE133" s="305">
        <f t="shared" si="113"/>
        <v>614.92200000000025</v>
      </c>
      <c r="AG133" s="446"/>
      <c r="AH133" s="446"/>
    </row>
    <row r="134" spans="2:41" s="316" customFormat="1" ht="12" x14ac:dyDescent="0.2">
      <c r="B134" s="317"/>
      <c r="C134" s="302" t="s">
        <v>94</v>
      </c>
      <c r="D134" s="302"/>
      <c r="E134" s="321"/>
      <c r="F134" s="383">
        <v>20</v>
      </c>
      <c r="G134" s="666"/>
      <c r="H134" s="666"/>
      <c r="I134" s="345"/>
      <c r="K134" s="340">
        <f>F134*12</f>
        <v>240</v>
      </c>
      <c r="L134" s="521"/>
      <c r="M134" s="521"/>
      <c r="N134" s="521"/>
      <c r="O134" s="521"/>
      <c r="P134" s="521"/>
      <c r="Q134" s="521"/>
      <c r="R134" s="521"/>
      <c r="S134" s="521"/>
      <c r="T134" s="521"/>
      <c r="U134" s="521"/>
      <c r="V134" s="521"/>
      <c r="W134" s="521"/>
      <c r="X134" s="379"/>
      <c r="Y134" s="305">
        <f>K134*(1+Y$131)</f>
        <v>264</v>
      </c>
      <c r="Z134" s="306"/>
      <c r="AA134" s="305">
        <f t="shared" si="113"/>
        <v>290.40000000000003</v>
      </c>
      <c r="AB134" s="307"/>
      <c r="AC134" s="305">
        <f t="shared" si="113"/>
        <v>319.44000000000005</v>
      </c>
      <c r="AD134" s="307"/>
      <c r="AE134" s="305">
        <f t="shared" si="113"/>
        <v>351.38400000000007</v>
      </c>
      <c r="AG134" s="446"/>
      <c r="AH134" s="446"/>
    </row>
    <row r="135" spans="2:41" s="302" customFormat="1" ht="12" x14ac:dyDescent="0.2">
      <c r="B135" s="303"/>
      <c r="C135" s="308" t="s">
        <v>95</v>
      </c>
      <c r="E135" s="321"/>
      <c r="F135" s="342">
        <f>SUM(F132:F134)</f>
        <v>405</v>
      </c>
      <c r="G135" s="342"/>
      <c r="H135" s="342"/>
      <c r="I135" s="345"/>
      <c r="K135" s="342">
        <f>SUM(K132:K134)</f>
        <v>4860</v>
      </c>
      <c r="L135" s="589"/>
      <c r="M135" s="589"/>
      <c r="N135" s="589"/>
      <c r="O135" s="589"/>
      <c r="P135" s="589"/>
      <c r="Q135" s="589"/>
      <c r="R135" s="589"/>
      <c r="S135" s="589"/>
      <c r="T135" s="589"/>
      <c r="U135" s="589"/>
      <c r="V135" s="589"/>
      <c r="W135" s="589"/>
      <c r="X135" s="376"/>
      <c r="Y135" s="310">
        <f>SUM(Y132:Y134)</f>
        <v>5346</v>
      </c>
      <c r="Z135" s="304"/>
      <c r="AA135" s="310">
        <f>SUM(AA132:AA134)</f>
        <v>5880.5999999999995</v>
      </c>
      <c r="AB135" s="304"/>
      <c r="AC135" s="310">
        <f>SUM(AC132:AC134)</f>
        <v>6468.6600000000017</v>
      </c>
      <c r="AD135" s="304"/>
      <c r="AE135" s="310">
        <f>SUM(AE132:AE134)</f>
        <v>7115.5260000000017</v>
      </c>
      <c r="AF135" s="306"/>
      <c r="AG135" s="446"/>
      <c r="AH135" s="446"/>
    </row>
    <row r="136" spans="2:41" s="302" customFormat="1" ht="12" x14ac:dyDescent="0.2">
      <c r="B136" s="304"/>
      <c r="E136" s="321"/>
      <c r="F136" s="381"/>
      <c r="G136" s="381"/>
      <c r="H136" s="381"/>
      <c r="I136" s="345"/>
      <c r="K136" s="344"/>
      <c r="L136" s="580"/>
      <c r="M136" s="580"/>
      <c r="N136" s="580"/>
      <c r="O136" s="580"/>
      <c r="P136" s="580"/>
      <c r="Q136" s="580"/>
      <c r="R136" s="580"/>
      <c r="S136" s="580"/>
      <c r="T136" s="580"/>
      <c r="U136" s="580"/>
      <c r="V136" s="580"/>
      <c r="W136" s="580"/>
      <c r="X136" s="376"/>
      <c r="Z136" s="304"/>
      <c r="AB136" s="304"/>
      <c r="AD136" s="304"/>
      <c r="AG136" s="446"/>
      <c r="AH136" s="446"/>
    </row>
    <row r="137" spans="2:41" x14ac:dyDescent="0.25">
      <c r="K137" s="501"/>
      <c r="AG137" s="471"/>
      <c r="AH137" s="471"/>
    </row>
    <row r="138" spans="2:41" outlineLevel="1" x14ac:dyDescent="0.25">
      <c r="B138" s="503">
        <v>6211</v>
      </c>
      <c r="C138" s="504" t="s">
        <v>198</v>
      </c>
      <c r="D138" s="505"/>
      <c r="E138" s="506"/>
      <c r="F138" s="507"/>
      <c r="G138" s="507"/>
      <c r="H138" s="507"/>
      <c r="I138" s="508"/>
      <c r="J138" s="505"/>
      <c r="K138" s="509">
        <f>$K$123*I13</f>
        <v>0</v>
      </c>
      <c r="L138" s="509">
        <f t="shared" ref="L138:W138" si="114">SUM(L10:L11)*$F$123</f>
        <v>0</v>
      </c>
      <c r="M138" s="509">
        <f t="shared" si="114"/>
        <v>0</v>
      </c>
      <c r="N138" s="509">
        <f t="shared" si="114"/>
        <v>0</v>
      </c>
      <c r="O138" s="509">
        <f t="shared" si="114"/>
        <v>0</v>
      </c>
      <c r="P138" s="509">
        <f t="shared" si="114"/>
        <v>0</v>
      </c>
      <c r="Q138" s="509">
        <f t="shared" si="114"/>
        <v>0</v>
      </c>
      <c r="R138" s="509">
        <f t="shared" si="114"/>
        <v>0</v>
      </c>
      <c r="S138" s="509">
        <f t="shared" si="114"/>
        <v>0</v>
      </c>
      <c r="T138" s="509">
        <f t="shared" si="114"/>
        <v>0</v>
      </c>
      <c r="U138" s="509">
        <f t="shared" si="114"/>
        <v>0</v>
      </c>
      <c r="V138" s="509">
        <f t="shared" si="114"/>
        <v>0</v>
      </c>
      <c r="W138" s="509">
        <f t="shared" si="114"/>
        <v>0</v>
      </c>
      <c r="X138" s="511"/>
      <c r="Y138" s="510">
        <f>Y123*X13</f>
        <v>0</v>
      </c>
      <c r="Z138" s="512"/>
      <c r="AA138" s="510">
        <f>AA123*Z13</f>
        <v>0</v>
      </c>
      <c r="AB138" s="513"/>
      <c r="AC138" s="510">
        <f>AC123*AB13</f>
        <v>0</v>
      </c>
      <c r="AD138" s="513"/>
      <c r="AE138" s="510">
        <f>AE123*AD13</f>
        <v>0</v>
      </c>
      <c r="AG138" s="482">
        <f>VLOOKUP(B138,'FY21'!C:AC,22)</f>
        <v>-444</v>
      </c>
      <c r="AH138" s="482">
        <f>K138-AG138</f>
        <v>444</v>
      </c>
    </row>
    <row r="139" spans="2:41" outlineLevel="1" x14ac:dyDescent="0.25">
      <c r="B139" s="503">
        <v>6214</v>
      </c>
      <c r="C139" s="504" t="s">
        <v>203</v>
      </c>
      <c r="D139" s="505"/>
      <c r="E139" s="506"/>
      <c r="F139" s="507"/>
      <c r="G139" s="507"/>
      <c r="H139" s="507"/>
      <c r="I139" s="508"/>
      <c r="J139" s="505"/>
      <c r="K139" s="509">
        <f>K123*I24</f>
        <v>1776</v>
      </c>
      <c r="L139" s="514">
        <f t="shared" ref="L139:W139" si="115">SUM(L16:L23)*$F$123</f>
        <v>148</v>
      </c>
      <c r="M139" s="514">
        <f t="shared" si="115"/>
        <v>148</v>
      </c>
      <c r="N139" s="514">
        <f t="shared" si="115"/>
        <v>148</v>
      </c>
      <c r="O139" s="514">
        <f t="shared" si="115"/>
        <v>148</v>
      </c>
      <c r="P139" s="514">
        <f t="shared" si="115"/>
        <v>148</v>
      </c>
      <c r="Q139" s="514">
        <f t="shared" si="115"/>
        <v>148</v>
      </c>
      <c r="R139" s="514">
        <f t="shared" si="115"/>
        <v>148</v>
      </c>
      <c r="S139" s="514">
        <f t="shared" si="115"/>
        <v>148</v>
      </c>
      <c r="T139" s="514">
        <f t="shared" si="115"/>
        <v>148</v>
      </c>
      <c r="U139" s="514">
        <f t="shared" si="115"/>
        <v>148</v>
      </c>
      <c r="V139" s="514">
        <f t="shared" si="115"/>
        <v>148</v>
      </c>
      <c r="W139" s="514">
        <f t="shared" si="115"/>
        <v>148</v>
      </c>
      <c r="X139" s="511"/>
      <c r="Y139" s="514">
        <f>Y123*X24</f>
        <v>1811.52</v>
      </c>
      <c r="Z139" s="515"/>
      <c r="AA139" s="514">
        <f>AA123*Z24</f>
        <v>1847.7503999999999</v>
      </c>
      <c r="AB139" s="516"/>
      <c r="AC139" s="514">
        <f>AC123*AB24</f>
        <v>1884.705408</v>
      </c>
      <c r="AD139" s="516"/>
      <c r="AE139" s="514">
        <f>AE123*AD24</f>
        <v>1922.3995161600001</v>
      </c>
      <c r="AG139" s="482">
        <f>VLOOKUP(B139,'FY21'!C:AC,22)</f>
        <v>1332</v>
      </c>
      <c r="AH139" s="482">
        <f t="shared" ref="AH139:AH162" si="116">K139-AG139</f>
        <v>444</v>
      </c>
    </row>
    <row r="140" spans="2:41" outlineLevel="1" x14ac:dyDescent="0.25">
      <c r="B140" s="503">
        <v>6217</v>
      </c>
      <c r="C140" s="504" t="s">
        <v>200</v>
      </c>
      <c r="D140" s="505"/>
      <c r="E140" s="506"/>
      <c r="F140" s="507"/>
      <c r="G140" s="507"/>
      <c r="H140" s="507"/>
      <c r="I140" s="508"/>
      <c r="J140" s="505"/>
      <c r="K140" s="509">
        <f>K123*I41</f>
        <v>3996</v>
      </c>
      <c r="L140" s="514">
        <f t="shared" ref="L140:W140" si="117">SUM(L27:L38)*$F$123</f>
        <v>296</v>
      </c>
      <c r="M140" s="514">
        <f t="shared" si="117"/>
        <v>296</v>
      </c>
      <c r="N140" s="514">
        <f t="shared" si="117"/>
        <v>296</v>
      </c>
      <c r="O140" s="514">
        <f t="shared" si="117"/>
        <v>296</v>
      </c>
      <c r="P140" s="514">
        <f t="shared" si="117"/>
        <v>296</v>
      </c>
      <c r="Q140" s="514">
        <f t="shared" si="117"/>
        <v>296</v>
      </c>
      <c r="R140" s="514">
        <f t="shared" si="117"/>
        <v>296</v>
      </c>
      <c r="S140" s="514">
        <f t="shared" si="117"/>
        <v>296</v>
      </c>
      <c r="T140" s="514">
        <f t="shared" si="117"/>
        <v>296</v>
      </c>
      <c r="U140" s="514">
        <f t="shared" si="117"/>
        <v>296</v>
      </c>
      <c r="V140" s="514">
        <f t="shared" si="117"/>
        <v>296</v>
      </c>
      <c r="W140" s="514">
        <f t="shared" si="117"/>
        <v>296</v>
      </c>
      <c r="X140" s="511"/>
      <c r="Y140" s="514">
        <f>Y123*X41</f>
        <v>4075.92</v>
      </c>
      <c r="Z140" s="515"/>
      <c r="AA140" s="514">
        <f>AA123*Z41</f>
        <v>4157.4384</v>
      </c>
      <c r="AB140" s="516"/>
      <c r="AC140" s="514">
        <f>AC123*AB41</f>
        <v>4240.587168</v>
      </c>
      <c r="AD140" s="516"/>
      <c r="AE140" s="514">
        <f>AE123*AD41</f>
        <v>4325.3989113600001</v>
      </c>
      <c r="AG140" s="482">
        <f>VLOOKUP(B140,'FY21'!C:AC,22)</f>
        <v>3552</v>
      </c>
      <c r="AH140" s="482">
        <f t="shared" si="116"/>
        <v>444</v>
      </c>
    </row>
    <row r="141" spans="2:41" x14ac:dyDescent="0.25">
      <c r="B141" s="517"/>
      <c r="C141" s="518" t="s">
        <v>237</v>
      </c>
      <c r="D141" s="505"/>
      <c r="E141" s="506"/>
      <c r="F141" s="507"/>
      <c r="G141" s="507"/>
      <c r="H141" s="507"/>
      <c r="I141" s="508"/>
      <c r="J141" s="505"/>
      <c r="K141" s="635">
        <f>SUBTOTAL(9,K138:K140)</f>
        <v>5772</v>
      </c>
      <c r="L141" s="635">
        <f t="shared" ref="L141:W141" si="118">SUBTOTAL(9,L138:L140)</f>
        <v>444</v>
      </c>
      <c r="M141" s="635">
        <f t="shared" si="118"/>
        <v>444</v>
      </c>
      <c r="N141" s="635">
        <f t="shared" si="118"/>
        <v>444</v>
      </c>
      <c r="O141" s="635">
        <f t="shared" si="118"/>
        <v>444</v>
      </c>
      <c r="P141" s="635">
        <f t="shared" si="118"/>
        <v>444</v>
      </c>
      <c r="Q141" s="635">
        <f t="shared" si="118"/>
        <v>444</v>
      </c>
      <c r="R141" s="635">
        <f t="shared" si="118"/>
        <v>444</v>
      </c>
      <c r="S141" s="635">
        <f t="shared" si="118"/>
        <v>444</v>
      </c>
      <c r="T141" s="635">
        <f t="shared" si="118"/>
        <v>444</v>
      </c>
      <c r="U141" s="635">
        <f t="shared" si="118"/>
        <v>444</v>
      </c>
      <c r="V141" s="635">
        <f t="shared" si="118"/>
        <v>444</v>
      </c>
      <c r="W141" s="635">
        <f t="shared" si="118"/>
        <v>444</v>
      </c>
      <c r="X141" s="511"/>
      <c r="Y141" s="519">
        <f>SUBTOTAL(9,Y138:Y140)</f>
        <v>5887.4400000000005</v>
      </c>
      <c r="Z141" s="515"/>
      <c r="AA141" s="519">
        <f>SUBTOTAL(9,AA138:AA140)</f>
        <v>6005.1887999999999</v>
      </c>
      <c r="AB141" s="516"/>
      <c r="AC141" s="519">
        <f>SUBTOTAL(9,AC138:AC140)</f>
        <v>6125.2925759999998</v>
      </c>
      <c r="AD141" s="516"/>
      <c r="AE141" s="519">
        <f>SUBTOTAL(9,AE138:AE140)</f>
        <v>6247.7984275199997</v>
      </c>
      <c r="AG141" s="482"/>
      <c r="AH141" s="482"/>
      <c r="AI141" s="520"/>
      <c r="AJ141" s="520"/>
      <c r="AK141" s="520"/>
      <c r="AL141" s="520"/>
      <c r="AM141" s="520"/>
      <c r="AN141" s="520"/>
      <c r="AO141" s="520"/>
    </row>
    <row r="142" spans="2:41" outlineLevel="1" x14ac:dyDescent="0.25">
      <c r="B142" s="376">
        <v>6227</v>
      </c>
      <c r="C142" s="302" t="s">
        <v>221</v>
      </c>
      <c r="K142" s="644">
        <f t="shared" ref="K142:W142" si="119">$K$125*(K48)</f>
        <v>2192.3200000000002</v>
      </c>
      <c r="L142" s="644">
        <f t="shared" si="119"/>
        <v>182.69333333333333</v>
      </c>
      <c r="M142" s="644">
        <f t="shared" si="119"/>
        <v>182.69333333333333</v>
      </c>
      <c r="N142" s="644">
        <f t="shared" si="119"/>
        <v>182.69333333333333</v>
      </c>
      <c r="O142" s="644">
        <f t="shared" si="119"/>
        <v>182.69333333333333</v>
      </c>
      <c r="P142" s="644">
        <f t="shared" si="119"/>
        <v>182.69333333333333</v>
      </c>
      <c r="Q142" s="644">
        <f t="shared" si="119"/>
        <v>182.69333333333333</v>
      </c>
      <c r="R142" s="644">
        <f t="shared" si="119"/>
        <v>182.69333333333333</v>
      </c>
      <c r="S142" s="644">
        <f t="shared" si="119"/>
        <v>182.69333333333333</v>
      </c>
      <c r="T142" s="644">
        <f t="shared" si="119"/>
        <v>182.69333333333333</v>
      </c>
      <c r="U142" s="644">
        <f t="shared" si="119"/>
        <v>182.69333333333333</v>
      </c>
      <c r="V142" s="644">
        <f t="shared" si="119"/>
        <v>182.69333333333333</v>
      </c>
      <c r="W142" s="644">
        <f t="shared" si="119"/>
        <v>182.69333333333333</v>
      </c>
      <c r="X142" s="379"/>
      <c r="Y142" s="522">
        <f>Y125*(Y48)</f>
        <v>2236.1663999999996</v>
      </c>
      <c r="Z142" s="409"/>
      <c r="AA142" s="522">
        <f>AA125*(AA48)</f>
        <v>2280.8897280000001</v>
      </c>
      <c r="AB142" s="523"/>
      <c r="AC142" s="522">
        <f>AC125*(AC48)</f>
        <v>2326.5075225600003</v>
      </c>
      <c r="AD142" s="523"/>
      <c r="AE142" s="522">
        <f>AE125*(AE48)</f>
        <v>2373.0376730112002</v>
      </c>
      <c r="AG142" s="482">
        <f>VLOOKUP(B142,'FY21'!C:AC,22)</f>
        <v>2192.3200000000002</v>
      </c>
      <c r="AH142" s="482">
        <f t="shared" si="116"/>
        <v>0</v>
      </c>
    </row>
    <row r="143" spans="2:41" x14ac:dyDescent="0.25">
      <c r="B143" s="304"/>
      <c r="C143" s="311" t="s">
        <v>86</v>
      </c>
      <c r="K143" s="643">
        <f>SUBTOTAL(9,K142:K142)</f>
        <v>2192.3200000000002</v>
      </c>
      <c r="L143" s="643">
        <f t="shared" ref="L143:W143" si="120">SUBTOTAL(9,L142:L142)</f>
        <v>182.69333333333333</v>
      </c>
      <c r="M143" s="643">
        <f t="shared" si="120"/>
        <v>182.69333333333333</v>
      </c>
      <c r="N143" s="643">
        <f t="shared" si="120"/>
        <v>182.69333333333333</v>
      </c>
      <c r="O143" s="643">
        <f t="shared" si="120"/>
        <v>182.69333333333333</v>
      </c>
      <c r="P143" s="643">
        <f t="shared" si="120"/>
        <v>182.69333333333333</v>
      </c>
      <c r="Q143" s="643">
        <f t="shared" si="120"/>
        <v>182.69333333333333</v>
      </c>
      <c r="R143" s="643">
        <f t="shared" si="120"/>
        <v>182.69333333333333</v>
      </c>
      <c r="S143" s="643">
        <f t="shared" si="120"/>
        <v>182.69333333333333</v>
      </c>
      <c r="T143" s="643">
        <f t="shared" si="120"/>
        <v>182.69333333333333</v>
      </c>
      <c r="U143" s="643">
        <f t="shared" si="120"/>
        <v>182.69333333333333</v>
      </c>
      <c r="V143" s="643">
        <f t="shared" si="120"/>
        <v>182.69333333333333</v>
      </c>
      <c r="W143" s="643">
        <f t="shared" si="120"/>
        <v>182.69333333333333</v>
      </c>
      <c r="X143" s="379"/>
      <c r="Y143" s="524">
        <f>SUBTOTAL(9,Y142:Y142)</f>
        <v>2236.1663999999996</v>
      </c>
      <c r="Z143" s="409"/>
      <c r="AA143" s="524">
        <f>SUBTOTAL(9,AA142:AA142)</f>
        <v>2280.8897280000001</v>
      </c>
      <c r="AB143" s="523"/>
      <c r="AC143" s="524">
        <f>SUBTOTAL(9,AC142:AC142)</f>
        <v>2326.5075225600003</v>
      </c>
      <c r="AD143" s="523"/>
      <c r="AE143" s="524">
        <f>SUBTOTAL(9,AE142:AE142)</f>
        <v>2373.0376730112002</v>
      </c>
      <c r="AG143" s="482"/>
      <c r="AH143" s="482"/>
      <c r="AI143" s="520"/>
      <c r="AJ143" s="520"/>
      <c r="AK143" s="520"/>
      <c r="AL143" s="520"/>
      <c r="AM143" s="520"/>
      <c r="AN143" s="520"/>
      <c r="AO143" s="520"/>
    </row>
    <row r="144" spans="2:41" outlineLevel="1" x14ac:dyDescent="0.25">
      <c r="B144" s="503">
        <v>6231</v>
      </c>
      <c r="C144" s="504" t="s">
        <v>205</v>
      </c>
      <c r="D144" s="505"/>
      <c r="E144" s="506"/>
      <c r="F144" s="507"/>
      <c r="G144" s="507"/>
      <c r="H144" s="507"/>
      <c r="I144" s="508"/>
      <c r="J144" s="505"/>
      <c r="K144" s="509">
        <f>K127*(SUMIF($F$9:$F$12,"ER",K9:K12))+K126*(SUMIF($F$9:$F$12,"EE",K9:K12))</f>
        <v>0</v>
      </c>
      <c r="L144" s="528">
        <f t="shared" ref="L144:W144" si="121">((SUMPRODUCT(($F10:$F12="EE")*L10:L12*$J10:$J12)/12)*$K$126)+((SUMPRODUCT(($F10:$F12="ER")*L10:L12*$J10:$J12)/12)*$K$127)</f>
        <v>0</v>
      </c>
      <c r="M144" s="528">
        <f t="shared" si="121"/>
        <v>0</v>
      </c>
      <c r="N144" s="528">
        <f t="shared" si="121"/>
        <v>0</v>
      </c>
      <c r="O144" s="528">
        <f t="shared" si="121"/>
        <v>0</v>
      </c>
      <c r="P144" s="528">
        <f t="shared" si="121"/>
        <v>0</v>
      </c>
      <c r="Q144" s="528">
        <f t="shared" si="121"/>
        <v>0</v>
      </c>
      <c r="R144" s="528">
        <f t="shared" si="121"/>
        <v>0</v>
      </c>
      <c r="S144" s="528">
        <f t="shared" si="121"/>
        <v>0</v>
      </c>
      <c r="T144" s="528">
        <f t="shared" si="121"/>
        <v>0</v>
      </c>
      <c r="U144" s="528">
        <f t="shared" si="121"/>
        <v>0</v>
      </c>
      <c r="V144" s="528">
        <f t="shared" si="121"/>
        <v>0</v>
      </c>
      <c r="W144" s="528">
        <f t="shared" si="121"/>
        <v>0</v>
      </c>
      <c r="X144" s="511"/>
      <c r="Y144" s="510">
        <f>Y127*(SUMIF($F$9:$F$12,"ER",Y9:Y12))+Y126*(SUMIF($F$9:$F$12,"EE",Y9:Y12))</f>
        <v>0</v>
      </c>
      <c r="Z144" s="512"/>
      <c r="AA144" s="510">
        <f>AA127*(SUMIF($F$9:$F$12,"ER",AA9:AA12))+AA126*(SUMIF($F$9:$F$12,"EE",AA9:AA12))</f>
        <v>0</v>
      </c>
      <c r="AB144" s="513"/>
      <c r="AC144" s="510">
        <f>AC127*(SUMIF($F$9:$F$12,"ER",AC9:AC12))+AC126*(SUMIF($F$9:$F$12,"EE",AC9:AC12))</f>
        <v>0</v>
      </c>
      <c r="AD144" s="513"/>
      <c r="AE144" s="510">
        <f>AE127*(SUMIF($F$9:$F$12,"ER",AE9:AE12))+AE126*(SUMIF($F$9:$F$12,"EE",AE9:AE12))</f>
        <v>0</v>
      </c>
      <c r="AG144" s="482">
        <f>VLOOKUP(B144,'FY21'!C:AC,22)</f>
        <v>-7246.9698468750003</v>
      </c>
      <c r="AH144" s="482">
        <f t="shared" si="116"/>
        <v>7246.9698468750003</v>
      </c>
    </row>
    <row r="145" spans="2:41" outlineLevel="1" x14ac:dyDescent="0.25">
      <c r="B145" s="503">
        <v>6234</v>
      </c>
      <c r="C145" s="504" t="s">
        <v>219</v>
      </c>
      <c r="D145" s="505"/>
      <c r="E145" s="506"/>
      <c r="F145" s="507"/>
      <c r="G145" s="507"/>
      <c r="H145" s="507"/>
      <c r="I145" s="508"/>
      <c r="J145" s="505"/>
      <c r="K145" s="509">
        <f>K127*(SUMIF($F$15:$F$23,"ER",K15:K23))+K126*(SUMIF($F$15:$F$23,"EE",K15:K23))</f>
        <v>128023.72425</v>
      </c>
      <c r="L145" s="509">
        <f t="shared" ref="L145:W145" si="122">((SUMPRODUCT(($F16:$F23="EE")*L16:L23*$J16:$J23)/12)*$K$126)+((SUMPRODUCT(($F16:$F23="ER")*L16:L23*$J16:$J23)/12)*$K$127)</f>
        <v>10668.6436875</v>
      </c>
      <c r="M145" s="509">
        <f t="shared" si="122"/>
        <v>10668.6436875</v>
      </c>
      <c r="N145" s="509">
        <f t="shared" si="122"/>
        <v>10668.6436875</v>
      </c>
      <c r="O145" s="509">
        <f t="shared" si="122"/>
        <v>10668.6436875</v>
      </c>
      <c r="P145" s="509">
        <f t="shared" si="122"/>
        <v>10668.6436875</v>
      </c>
      <c r="Q145" s="509">
        <f t="shared" si="122"/>
        <v>10668.6436875</v>
      </c>
      <c r="R145" s="509">
        <f t="shared" si="122"/>
        <v>10668.6436875</v>
      </c>
      <c r="S145" s="509">
        <f t="shared" si="122"/>
        <v>10668.6436875</v>
      </c>
      <c r="T145" s="509">
        <f t="shared" si="122"/>
        <v>10668.6436875</v>
      </c>
      <c r="U145" s="509">
        <f t="shared" si="122"/>
        <v>10668.6436875</v>
      </c>
      <c r="V145" s="509">
        <f t="shared" si="122"/>
        <v>10668.6436875</v>
      </c>
      <c r="W145" s="509">
        <f t="shared" si="122"/>
        <v>10668.6436875</v>
      </c>
      <c r="X145" s="511"/>
      <c r="Y145" s="514">
        <f>Y127*(SUMIF($F$15:$F$23,"ER",Y15:Y23))+Y126*(SUMIF($F$15:$F$23,"EE",Y15:Y23))</f>
        <v>130584.198735</v>
      </c>
      <c r="Z145" s="515"/>
      <c r="AA145" s="514">
        <f>AA127*(SUMIF($F$15:$F$23,"ER",AA15:AA23))+AA126*(SUMIF($F$15:$F$23,"EE",AA15:AA23))</f>
        <v>133195.8827097</v>
      </c>
      <c r="AB145" s="516"/>
      <c r="AC145" s="514">
        <f>AC127*(SUMIF($F$15:$F$23,"ER",AC15:AC23))+AC126*(SUMIF($F$15:$F$23,"EE",AC15:AC23))</f>
        <v>135859.800363894</v>
      </c>
      <c r="AD145" s="516"/>
      <c r="AE145" s="514">
        <f>AE127*(SUMIF($F$15:$F$23,"ER",AE15:AE23))+AE126*(SUMIF($F$15:$F$23,"EE",AE15:AE23))</f>
        <v>138576.99637117187</v>
      </c>
      <c r="AG145" s="482">
        <f>VLOOKUP(B145,'FY21'!C:AC,22)</f>
        <v>115725.83602500003</v>
      </c>
      <c r="AH145" s="482">
        <f t="shared" si="116"/>
        <v>12297.888224999973</v>
      </c>
    </row>
    <row r="146" spans="2:41" outlineLevel="1" x14ac:dyDescent="0.25">
      <c r="B146" s="503">
        <v>6237</v>
      </c>
      <c r="C146" s="504" t="s">
        <v>220</v>
      </c>
      <c r="D146" s="505"/>
      <c r="E146" s="506"/>
      <c r="F146" s="507"/>
      <c r="G146" s="507"/>
      <c r="H146" s="507"/>
      <c r="I146" s="508"/>
      <c r="J146" s="505"/>
      <c r="K146" s="509">
        <f>K127*(SUMIF($F$26:$F$40,"ER",K26:K40))+K126*(SUMIF($F$26:$F$40,"EE",K26:K40))</f>
        <v>117882.83657249999</v>
      </c>
      <c r="L146" s="509">
        <f t="shared" ref="L146:W146" si="123">((SUMPRODUCT(($F27:$F38="EE")*L27:L38*$J27:$J38)/12)*$K$126)+((SUMPRODUCT(($F27:$F38="ER")*L27:L38*$J27:$J38)/12)*$K$127)</f>
        <v>9823.5697143750003</v>
      </c>
      <c r="M146" s="509">
        <f>((SUMPRODUCT(($F27:$F38="EE")*M27:M38*$J27:$J38)/12)*$K$126)+((SUMPRODUCT(($F27:$F38="ER")*M27:M38*$J27:$J38)/12)*$K$127)</f>
        <v>9823.5697143750003</v>
      </c>
      <c r="N146" s="509">
        <f t="shared" si="123"/>
        <v>9823.5697143750003</v>
      </c>
      <c r="O146" s="509">
        <f t="shared" si="123"/>
        <v>9823.5697143750003</v>
      </c>
      <c r="P146" s="509">
        <f t="shared" si="123"/>
        <v>9823.5697143750003</v>
      </c>
      <c r="Q146" s="509">
        <f t="shared" si="123"/>
        <v>9823.5697143750003</v>
      </c>
      <c r="R146" s="509">
        <f t="shared" si="123"/>
        <v>9823.5697143750003</v>
      </c>
      <c r="S146" s="509">
        <f t="shared" si="123"/>
        <v>9823.5697143750003</v>
      </c>
      <c r="T146" s="509">
        <f t="shared" si="123"/>
        <v>9823.5697143750003</v>
      </c>
      <c r="U146" s="509">
        <f t="shared" si="123"/>
        <v>9823.5697143750003</v>
      </c>
      <c r="V146" s="509">
        <f t="shared" si="123"/>
        <v>9823.5697143750003</v>
      </c>
      <c r="W146" s="509">
        <f t="shared" si="123"/>
        <v>9823.5697143750003</v>
      </c>
      <c r="X146" s="511"/>
      <c r="Y146" s="514">
        <f>Y127*(SUMIF($F$26:$F$40,"ER",Y26:Y40))+Y126*(SUMIF($F$26:$F$40,"EE",Y26:Y40))</f>
        <v>129200.38329644999</v>
      </c>
      <c r="Z146" s="515"/>
      <c r="AA146" s="514">
        <f>AA127*(SUMIF($F$26:$F$40,"ER",AA26:AA40))+AA126*(SUMIF($F$26:$F$40,"EE",AA26:AA40))</f>
        <v>131784.390962379</v>
      </c>
      <c r="AB146" s="516"/>
      <c r="AC146" s="514">
        <f>AC127*(SUMIF($F$26:$F$40,"ER",AC26:AC40))+AC126*(SUMIF($F$26:$F$40,"EE",AC26:AC40))</f>
        <v>134420.07878162657</v>
      </c>
      <c r="AD146" s="516"/>
      <c r="AE146" s="514">
        <f>AE127*(SUMIF($F$26:$F$40,"ER",AE26:AE40))+AE126*(SUMIF($F$26:$F$40,"EE",AE26:AE40))</f>
        <v>137108.4803572591</v>
      </c>
      <c r="AG146" s="482">
        <f>VLOOKUP(B146,'FY21'!C:AC,22)</f>
        <v>117251.47177523439</v>
      </c>
      <c r="AH146" s="482">
        <f t="shared" si="116"/>
        <v>631.36479726560356</v>
      </c>
    </row>
    <row r="147" spans="2:41" x14ac:dyDescent="0.25">
      <c r="B147" s="517"/>
      <c r="C147" s="518" t="s">
        <v>238</v>
      </c>
      <c r="D147" s="505"/>
      <c r="E147" s="506"/>
      <c r="F147" s="507"/>
      <c r="G147" s="507"/>
      <c r="H147" s="507"/>
      <c r="I147" s="508"/>
      <c r="J147" s="505"/>
      <c r="K147" s="635">
        <f>SUBTOTAL(9,K144:K146)</f>
        <v>245906.56082249997</v>
      </c>
      <c r="L147" s="635">
        <f t="shared" ref="L147:W147" si="124">SUBTOTAL(9,L144:L146)</f>
        <v>20492.213401875</v>
      </c>
      <c r="M147" s="635">
        <f t="shared" si="124"/>
        <v>20492.213401875</v>
      </c>
      <c r="N147" s="635">
        <f t="shared" si="124"/>
        <v>20492.213401875</v>
      </c>
      <c r="O147" s="635">
        <f t="shared" si="124"/>
        <v>20492.213401875</v>
      </c>
      <c r="P147" s="635">
        <f t="shared" si="124"/>
        <v>20492.213401875</v>
      </c>
      <c r="Q147" s="635">
        <f t="shared" si="124"/>
        <v>20492.213401875</v>
      </c>
      <c r="R147" s="635">
        <f t="shared" si="124"/>
        <v>20492.213401875</v>
      </c>
      <c r="S147" s="635">
        <f t="shared" si="124"/>
        <v>20492.213401875</v>
      </c>
      <c r="T147" s="635">
        <f t="shared" si="124"/>
        <v>20492.213401875</v>
      </c>
      <c r="U147" s="635">
        <f t="shared" si="124"/>
        <v>20492.213401875</v>
      </c>
      <c r="V147" s="635">
        <f t="shared" si="124"/>
        <v>20492.213401875</v>
      </c>
      <c r="W147" s="635">
        <f t="shared" si="124"/>
        <v>20492.213401875</v>
      </c>
      <c r="X147" s="511"/>
      <c r="Y147" s="519">
        <f>SUBTOTAL(9,Y144:Y146)</f>
        <v>259784.58203145</v>
      </c>
      <c r="Z147" s="515"/>
      <c r="AA147" s="519">
        <f>SUBTOTAL(9,AA144:AA146)</f>
        <v>264980.27367207897</v>
      </c>
      <c r="AB147" s="516"/>
      <c r="AC147" s="519">
        <f>SUBTOTAL(9,AC144:AC146)</f>
        <v>270279.87914552056</v>
      </c>
      <c r="AD147" s="516"/>
      <c r="AE147" s="519">
        <f>SUBTOTAL(9,AE144:AE146)</f>
        <v>275685.47672843095</v>
      </c>
      <c r="AG147" s="482"/>
      <c r="AH147" s="482"/>
      <c r="AI147" s="520"/>
      <c r="AJ147" s="520"/>
      <c r="AK147" s="520"/>
      <c r="AL147" s="520"/>
      <c r="AM147" s="520"/>
      <c r="AN147" s="520"/>
      <c r="AO147" s="520"/>
    </row>
    <row r="148" spans="2:41" outlineLevel="1" x14ac:dyDescent="0.25">
      <c r="B148" s="376">
        <v>6241</v>
      </c>
      <c r="C148" s="302" t="s">
        <v>196</v>
      </c>
      <c r="K148" s="522">
        <f>K128*(K13+K54+K89)</f>
        <v>0</v>
      </c>
      <c r="L148" s="522">
        <f t="shared" ref="L148:W148" si="125">$K$128*(L13+L54+L89)</f>
        <v>0</v>
      </c>
      <c r="M148" s="522">
        <f t="shared" si="125"/>
        <v>0</v>
      </c>
      <c r="N148" s="522">
        <f t="shared" si="125"/>
        <v>0</v>
      </c>
      <c r="O148" s="522">
        <f t="shared" si="125"/>
        <v>0</v>
      </c>
      <c r="P148" s="522">
        <f t="shared" si="125"/>
        <v>0</v>
      </c>
      <c r="Q148" s="522">
        <f t="shared" si="125"/>
        <v>0</v>
      </c>
      <c r="R148" s="522">
        <f t="shared" si="125"/>
        <v>0</v>
      </c>
      <c r="S148" s="522">
        <f t="shared" si="125"/>
        <v>0</v>
      </c>
      <c r="T148" s="522">
        <f t="shared" si="125"/>
        <v>0</v>
      </c>
      <c r="U148" s="522">
        <f t="shared" si="125"/>
        <v>0</v>
      </c>
      <c r="V148" s="522">
        <f t="shared" si="125"/>
        <v>0</v>
      </c>
      <c r="W148" s="522">
        <f t="shared" si="125"/>
        <v>0</v>
      </c>
      <c r="X148" s="379"/>
      <c r="Y148" s="525">
        <f>Y128*(Y13+Y54+Y89)</f>
        <v>0</v>
      </c>
      <c r="Z148" s="526"/>
      <c r="AA148" s="525">
        <f>AA128*(AA13+AA54+AA89)</f>
        <v>0</v>
      </c>
      <c r="AB148" s="527"/>
      <c r="AC148" s="525">
        <f>AC128*(AC13+AC54+AC89)</f>
        <v>0</v>
      </c>
      <c r="AD148" s="527"/>
      <c r="AE148" s="525">
        <f>AE128*(AE13+AE54+AE89)</f>
        <v>0</v>
      </c>
      <c r="AG148" s="482">
        <f>VLOOKUP(B148,'FY21'!C:AC,22)</f>
        <v>-732.55614937500002</v>
      </c>
      <c r="AH148" s="482">
        <f t="shared" si="116"/>
        <v>732.55614937500002</v>
      </c>
    </row>
    <row r="149" spans="2:41" outlineLevel="1" x14ac:dyDescent="0.25">
      <c r="B149" s="376">
        <v>6244</v>
      </c>
      <c r="C149" s="302" t="s">
        <v>197</v>
      </c>
      <c r="K149" s="522">
        <f t="shared" ref="K149:W149" si="126">$K$128*(K24+K67+K101)</f>
        <v>7736.8766500000002</v>
      </c>
      <c r="L149" s="522">
        <f t="shared" si="126"/>
        <v>595.50013750000005</v>
      </c>
      <c r="M149" s="522">
        <f t="shared" si="126"/>
        <v>595.50013750000005</v>
      </c>
      <c r="N149" s="522">
        <f t="shared" si="126"/>
        <v>606.37513750000005</v>
      </c>
      <c r="O149" s="522">
        <f t="shared" si="126"/>
        <v>610.00013750000005</v>
      </c>
      <c r="P149" s="522">
        <f t="shared" si="126"/>
        <v>617.25013750000005</v>
      </c>
      <c r="Q149" s="522">
        <f t="shared" si="126"/>
        <v>624.50013750000005</v>
      </c>
      <c r="R149" s="522">
        <f t="shared" si="126"/>
        <v>624.50013750000005</v>
      </c>
      <c r="S149" s="522">
        <f t="shared" si="126"/>
        <v>635.37513750000005</v>
      </c>
      <c r="T149" s="522">
        <f t="shared" si="126"/>
        <v>628.12513750000005</v>
      </c>
      <c r="U149" s="522">
        <f t="shared" si="126"/>
        <v>624.50013750000005</v>
      </c>
      <c r="V149" s="522">
        <f t="shared" si="126"/>
        <v>624.50013750000005</v>
      </c>
      <c r="W149" s="522">
        <f t="shared" si="126"/>
        <v>950.75013750000016</v>
      </c>
      <c r="X149" s="379"/>
      <c r="Y149" s="522">
        <f>Y128*(Y24+Y67+Y101)</f>
        <v>7536.6541830000006</v>
      </c>
      <c r="Z149" s="409"/>
      <c r="AA149" s="522">
        <f>AA128*(AA24+AA67+AA101)</f>
        <v>7687.3872666600018</v>
      </c>
      <c r="AB149" s="523"/>
      <c r="AC149" s="522">
        <f>AC128*(AC24+AC67+AC101)</f>
        <v>7841.1350119932004</v>
      </c>
      <c r="AD149" s="523"/>
      <c r="AE149" s="522">
        <f>AE128*(AE24+AE67+AE101)</f>
        <v>7997.9577122330647</v>
      </c>
      <c r="AG149" s="482">
        <f>VLOOKUP(B149,'FY21'!C:AC,22)</f>
        <v>6469.6942450000006</v>
      </c>
      <c r="AH149" s="482">
        <f t="shared" si="116"/>
        <v>1267.1824049999996</v>
      </c>
    </row>
    <row r="150" spans="2:41" outlineLevel="1" x14ac:dyDescent="0.25">
      <c r="B150" s="376">
        <v>6247</v>
      </c>
      <c r="C150" s="302" t="s">
        <v>214</v>
      </c>
      <c r="K150" s="522">
        <f t="shared" ref="K150:W150" si="127">$K$128*(K41+K48+K83+K115)</f>
        <v>9409.9966905000001</v>
      </c>
      <c r="L150" s="522">
        <f t="shared" si="127"/>
        <v>734.25255754166665</v>
      </c>
      <c r="M150" s="522">
        <f t="shared" si="127"/>
        <v>797.76255754166664</v>
      </c>
      <c r="N150" s="522">
        <f t="shared" si="127"/>
        <v>797.41455754166668</v>
      </c>
      <c r="O150" s="522">
        <f t="shared" si="127"/>
        <v>837.86955754166672</v>
      </c>
      <c r="P150" s="522">
        <f t="shared" si="127"/>
        <v>809.59455754166675</v>
      </c>
      <c r="Q150" s="522">
        <f t="shared" si="127"/>
        <v>781.60955754166673</v>
      </c>
      <c r="R150" s="522">
        <f t="shared" si="127"/>
        <v>820.75955754166671</v>
      </c>
      <c r="S150" s="522">
        <f t="shared" si="127"/>
        <v>769.42955754166667</v>
      </c>
      <c r="T150" s="522">
        <f t="shared" si="127"/>
        <v>804.66455754166668</v>
      </c>
      <c r="U150" s="522">
        <f t="shared" si="127"/>
        <v>832.93955754166666</v>
      </c>
      <c r="V150" s="522">
        <f t="shared" si="127"/>
        <v>832.99755754166665</v>
      </c>
      <c r="W150" s="522">
        <f t="shared" si="127"/>
        <v>734.25255754166665</v>
      </c>
      <c r="X150" s="379"/>
      <c r="Y150" s="522">
        <f>Y128*(Y41+Y48+Y83+Y115)</f>
        <v>10010.798430809999</v>
      </c>
      <c r="Z150" s="409"/>
      <c r="AA150" s="522">
        <f>AA128*(AA41+AA48+AA83+AA115)</f>
        <v>10211.014399426198</v>
      </c>
      <c r="AB150" s="523"/>
      <c r="AC150" s="522">
        <f>AC128*(AC41+AC48+AC83+AC115)</f>
        <v>10415.234687414724</v>
      </c>
      <c r="AD150" s="523"/>
      <c r="AE150" s="522">
        <f>AE128*(AE41+AE48+AE83+AE115)</f>
        <v>10623.53938116302</v>
      </c>
      <c r="AG150" s="482">
        <f>VLOOKUP(B150,'FY21'!C:AC,22)</f>
        <v>9493.5152835468743</v>
      </c>
      <c r="AH150" s="482">
        <f t="shared" si="116"/>
        <v>-83.51859304687423</v>
      </c>
    </row>
    <row r="151" spans="2:41" x14ac:dyDescent="0.25">
      <c r="B151" s="304"/>
      <c r="C151" s="311" t="s">
        <v>82</v>
      </c>
      <c r="K151" s="643">
        <f>SUBTOTAL(9,K148:K150)</f>
        <v>17146.873340500002</v>
      </c>
      <c r="L151" s="643">
        <f t="shared" ref="L151:W151" si="128">SUBTOTAL(9,L148:L150)</f>
        <v>1329.7526950416668</v>
      </c>
      <c r="M151" s="643">
        <f t="shared" si="128"/>
        <v>1393.2626950416666</v>
      </c>
      <c r="N151" s="643">
        <f t="shared" si="128"/>
        <v>1403.7896950416666</v>
      </c>
      <c r="O151" s="643">
        <f t="shared" si="128"/>
        <v>1447.8696950416668</v>
      </c>
      <c r="P151" s="643">
        <f t="shared" si="128"/>
        <v>1426.8446950416669</v>
      </c>
      <c r="Q151" s="643">
        <f t="shared" si="128"/>
        <v>1406.1096950416668</v>
      </c>
      <c r="R151" s="643">
        <f t="shared" si="128"/>
        <v>1445.2596950416669</v>
      </c>
      <c r="S151" s="643">
        <f t="shared" si="128"/>
        <v>1404.8046950416667</v>
      </c>
      <c r="T151" s="643">
        <f t="shared" si="128"/>
        <v>1432.7896950416666</v>
      </c>
      <c r="U151" s="643">
        <f t="shared" si="128"/>
        <v>1457.4396950416667</v>
      </c>
      <c r="V151" s="643">
        <f t="shared" si="128"/>
        <v>1457.4976950416667</v>
      </c>
      <c r="W151" s="643">
        <f t="shared" si="128"/>
        <v>1685.0026950416668</v>
      </c>
      <c r="X151" s="379"/>
      <c r="Y151" s="524">
        <f>SUBTOTAL(9,Y148:Y150)</f>
        <v>17547.452613809997</v>
      </c>
      <c r="Z151" s="409"/>
      <c r="AA151" s="524">
        <f>SUBTOTAL(9,AA148:AA150)</f>
        <v>17898.4016660862</v>
      </c>
      <c r="AB151" s="523"/>
      <c r="AC151" s="524">
        <f>SUBTOTAL(9,AC148:AC150)</f>
        <v>18256.369699407926</v>
      </c>
      <c r="AD151" s="523"/>
      <c r="AE151" s="524">
        <f>SUBTOTAL(9,AE148:AE150)</f>
        <v>18621.497093396087</v>
      </c>
      <c r="AG151" s="482"/>
      <c r="AH151" s="482"/>
      <c r="AI151" s="520"/>
      <c r="AJ151" s="520"/>
      <c r="AK151" s="520"/>
      <c r="AL151" s="520"/>
      <c r="AM151" s="520"/>
      <c r="AN151" s="520"/>
      <c r="AO151" s="520"/>
    </row>
    <row r="152" spans="2:41" outlineLevel="1" x14ac:dyDescent="0.25">
      <c r="B152" s="503">
        <v>6261</v>
      </c>
      <c r="C152" s="504" t="s">
        <v>207</v>
      </c>
      <c r="D152" s="505"/>
      <c r="E152" s="506"/>
      <c r="F152" s="507"/>
      <c r="G152" s="507"/>
      <c r="H152" s="507"/>
      <c r="I152" s="508"/>
      <c r="J152" s="505"/>
      <c r="K152" s="514">
        <f>(SUMIF(K9:K12,"&lt;31200")*K129)+(COUNTIF(K9:K12,"&gt;31200")*31200*K129)</f>
        <v>0</v>
      </c>
      <c r="L152" s="645">
        <f t="shared" ref="L152:W158" si="129">$K152/12</f>
        <v>0</v>
      </c>
      <c r="M152" s="645">
        <f t="shared" si="129"/>
        <v>0</v>
      </c>
      <c r="N152" s="645">
        <f t="shared" si="129"/>
        <v>0</v>
      </c>
      <c r="O152" s="645">
        <f t="shared" si="129"/>
        <v>0</v>
      </c>
      <c r="P152" s="645">
        <f t="shared" si="129"/>
        <v>0</v>
      </c>
      <c r="Q152" s="645">
        <f t="shared" si="129"/>
        <v>0</v>
      </c>
      <c r="R152" s="645">
        <f t="shared" si="129"/>
        <v>0</v>
      </c>
      <c r="S152" s="645">
        <f t="shared" si="129"/>
        <v>0</v>
      </c>
      <c r="T152" s="645">
        <f t="shared" si="129"/>
        <v>0</v>
      </c>
      <c r="U152" s="645">
        <f t="shared" si="129"/>
        <v>0</v>
      </c>
      <c r="V152" s="645">
        <f t="shared" si="129"/>
        <v>0</v>
      </c>
      <c r="W152" s="645">
        <f t="shared" si="129"/>
        <v>0</v>
      </c>
      <c r="X152" s="511"/>
      <c r="Y152" s="510">
        <f>(SUMIF(Y9:Y12,"&lt;31200")*Y129)+(COUNTIF(Y9:Y12,"&gt;31200")*31200*Y129)</f>
        <v>0</v>
      </c>
      <c r="Z152" s="512"/>
      <c r="AA152" s="510">
        <f>(SUMIF(AA9:AA12,"&lt;31200")*AA129)+(COUNTIF(AA9:AA12,"&gt;31200")*31200*AA129)</f>
        <v>0</v>
      </c>
      <c r="AB152" s="513"/>
      <c r="AC152" s="510">
        <f>(SUMIF(AC9:AC12,"&lt;31200")*AC129)+(COUNTIF(AC9:AC12,"&gt;31200")*31200*AC129)</f>
        <v>0</v>
      </c>
      <c r="AD152" s="513"/>
      <c r="AE152" s="510">
        <f>(SUMIF(AE9:AE12,"&lt;31200")*AE129)+(COUNTIF(AE9:AE12,"&gt;31200")*31200*AE129)</f>
        <v>0</v>
      </c>
      <c r="AG152" s="482">
        <f>VLOOKUP(B152,'FY21'!C:AC,22)</f>
        <v>-936</v>
      </c>
      <c r="AH152" s="482">
        <f t="shared" si="116"/>
        <v>936</v>
      </c>
    </row>
    <row r="153" spans="2:41" outlineLevel="1" x14ac:dyDescent="0.25">
      <c r="B153" s="503">
        <v>6264</v>
      </c>
      <c r="C153" s="504" t="s">
        <v>215</v>
      </c>
      <c r="D153" s="505"/>
      <c r="E153" s="506"/>
      <c r="F153" s="507"/>
      <c r="G153" s="507"/>
      <c r="H153" s="507"/>
      <c r="I153" s="508"/>
      <c r="J153" s="505"/>
      <c r="K153" s="514">
        <f>(SUMIF(K15:K23,"&lt;31200")*K129)+(COUNTIF(K15:K23,"&gt;31200")*31200*K129)</f>
        <v>1872</v>
      </c>
      <c r="L153" s="645">
        <f t="shared" si="129"/>
        <v>156</v>
      </c>
      <c r="M153" s="645">
        <f t="shared" si="129"/>
        <v>156</v>
      </c>
      <c r="N153" s="645">
        <f t="shared" si="129"/>
        <v>156</v>
      </c>
      <c r="O153" s="645">
        <f t="shared" si="129"/>
        <v>156</v>
      </c>
      <c r="P153" s="645">
        <f t="shared" si="129"/>
        <v>156</v>
      </c>
      <c r="Q153" s="645">
        <f t="shared" si="129"/>
        <v>156</v>
      </c>
      <c r="R153" s="645">
        <f t="shared" si="129"/>
        <v>156</v>
      </c>
      <c r="S153" s="645">
        <f t="shared" si="129"/>
        <v>156</v>
      </c>
      <c r="T153" s="645">
        <f t="shared" si="129"/>
        <v>156</v>
      </c>
      <c r="U153" s="645">
        <f t="shared" si="129"/>
        <v>156</v>
      </c>
      <c r="V153" s="645">
        <f t="shared" si="129"/>
        <v>156</v>
      </c>
      <c r="W153" s="645">
        <f t="shared" si="129"/>
        <v>156</v>
      </c>
      <c r="X153" s="511"/>
      <c r="Y153" s="514">
        <f>(SUMIF(Y15:Y23,"&lt;31200")*Y129)+(COUNTIF(Y15:Y23,"&gt;31200")*31200*Y129)</f>
        <v>1872</v>
      </c>
      <c r="Z153" s="515"/>
      <c r="AA153" s="514">
        <f>(SUMIF(AA15:AA23,"&lt;31200")*AA129)+(COUNTIF(AA15:AA23,"&gt;31200")*31200*AA129)</f>
        <v>1872</v>
      </c>
      <c r="AB153" s="516"/>
      <c r="AC153" s="514">
        <f>(SUMIF(AC15:AC23,"&lt;31200")*AC129)+(COUNTIF(AC15:AC23,"&gt;31200")*31200*AC129)</f>
        <v>1872</v>
      </c>
      <c r="AD153" s="516"/>
      <c r="AE153" s="514">
        <f>(SUMIF(AE15:AE23,"&lt;31200")*AE129)+(COUNTIF(AE15:AE23,"&gt;31200")*31200*AE129)</f>
        <v>1872</v>
      </c>
      <c r="AG153" s="482">
        <f>VLOOKUP(B153,'FY21'!C:AC,22)</f>
        <v>936</v>
      </c>
      <c r="AH153" s="482">
        <f t="shared" si="116"/>
        <v>936</v>
      </c>
    </row>
    <row r="154" spans="2:41" outlineLevel="1" x14ac:dyDescent="0.25">
      <c r="B154" s="503">
        <v>6267</v>
      </c>
      <c r="C154" s="504" t="s">
        <v>216</v>
      </c>
      <c r="D154" s="505"/>
      <c r="E154" s="506"/>
      <c r="F154" s="507"/>
      <c r="G154" s="507"/>
      <c r="H154" s="507"/>
      <c r="I154" s="508"/>
      <c r="J154" s="505"/>
      <c r="K154" s="514">
        <f>(SUMIF(K44:K46,"&lt;31200")*K129)+(COUNTIF(K44:K46,"&gt;31200")*31200*K129)+(SUMIF(K26:K40,"&lt;31200")*K129)+(COUNTIF(K26:K40,"&gt;31200")*31200*K129)</f>
        <v>4328.3999999999996</v>
      </c>
      <c r="L154" s="645">
        <f t="shared" si="129"/>
        <v>360.7</v>
      </c>
      <c r="M154" s="645">
        <f t="shared" si="129"/>
        <v>360.7</v>
      </c>
      <c r="N154" s="645">
        <f t="shared" si="129"/>
        <v>360.7</v>
      </c>
      <c r="O154" s="645">
        <f t="shared" si="129"/>
        <v>360.7</v>
      </c>
      <c r="P154" s="645">
        <f t="shared" si="129"/>
        <v>360.7</v>
      </c>
      <c r="Q154" s="645">
        <f t="shared" si="129"/>
        <v>360.7</v>
      </c>
      <c r="R154" s="645">
        <f t="shared" si="129"/>
        <v>360.7</v>
      </c>
      <c r="S154" s="645">
        <f t="shared" si="129"/>
        <v>360.7</v>
      </c>
      <c r="T154" s="645">
        <f t="shared" si="129"/>
        <v>360.7</v>
      </c>
      <c r="U154" s="645">
        <f t="shared" si="129"/>
        <v>360.7</v>
      </c>
      <c r="V154" s="645">
        <f t="shared" si="129"/>
        <v>360.7</v>
      </c>
      <c r="W154" s="645">
        <f t="shared" si="129"/>
        <v>360.7</v>
      </c>
      <c r="X154" s="511"/>
      <c r="Y154" s="514">
        <f>(SUMIF(Y26:Y40,"&lt;31200")*Y129)+(COUNTIF(Y26:Y40,"&gt;31200")*31200*Y129)</f>
        <v>4267.08</v>
      </c>
      <c r="Z154" s="515"/>
      <c r="AA154" s="514">
        <f>(SUMIF(AA26:AA40,"&lt;31200")*AA129)+(COUNTIF(AA26:AA40,"&gt;31200")*31200*AA129)</f>
        <v>4268.1815999999999</v>
      </c>
      <c r="AB154" s="516"/>
      <c r="AC154" s="514">
        <f>(SUMIF(AC26:AC40,"&lt;31200")*AC129)+(COUNTIF(AC26:AC40,"&gt;31200")*31200*AC129)</f>
        <v>4269.3052319999997</v>
      </c>
      <c r="AD154" s="516"/>
      <c r="AE154" s="514">
        <f>(SUMIF(AE26:AE40,"&lt;31200")*AE129)+(COUNTIF(AE26:AE40,"&gt;31200")*31200*AE129)</f>
        <v>4270.4513366399997</v>
      </c>
      <c r="AG154" s="482">
        <f>VLOOKUP(B154,'FY21'!C:AC,22)</f>
        <v>4204.1970890624989</v>
      </c>
      <c r="AH154" s="482">
        <f t="shared" si="116"/>
        <v>124.20291093750075</v>
      </c>
    </row>
    <row r="155" spans="2:41" x14ac:dyDescent="0.25">
      <c r="B155" s="517"/>
      <c r="C155" s="518" t="s">
        <v>239</v>
      </c>
      <c r="D155" s="505"/>
      <c r="E155" s="506"/>
      <c r="F155" s="507"/>
      <c r="G155" s="507"/>
      <c r="H155" s="507"/>
      <c r="I155" s="508"/>
      <c r="J155" s="505"/>
      <c r="K155" s="635">
        <f>SUBTOTAL(9,K152:K154)</f>
        <v>6200.4</v>
      </c>
      <c r="L155" s="635">
        <f t="shared" ref="L155:W155" si="130">SUBTOTAL(9,L152:L154)</f>
        <v>516.70000000000005</v>
      </c>
      <c r="M155" s="635">
        <f t="shared" si="130"/>
        <v>516.70000000000005</v>
      </c>
      <c r="N155" s="635">
        <f t="shared" si="130"/>
        <v>516.70000000000005</v>
      </c>
      <c r="O155" s="635">
        <f t="shared" si="130"/>
        <v>516.70000000000005</v>
      </c>
      <c r="P155" s="635">
        <f t="shared" si="130"/>
        <v>516.70000000000005</v>
      </c>
      <c r="Q155" s="635">
        <f t="shared" si="130"/>
        <v>516.70000000000005</v>
      </c>
      <c r="R155" s="635">
        <f t="shared" si="130"/>
        <v>516.70000000000005</v>
      </c>
      <c r="S155" s="635">
        <f t="shared" si="130"/>
        <v>516.70000000000005</v>
      </c>
      <c r="T155" s="635">
        <f t="shared" si="130"/>
        <v>516.70000000000005</v>
      </c>
      <c r="U155" s="635">
        <f t="shared" si="130"/>
        <v>516.70000000000005</v>
      </c>
      <c r="V155" s="635">
        <f t="shared" si="130"/>
        <v>516.70000000000005</v>
      </c>
      <c r="W155" s="635">
        <f t="shared" si="130"/>
        <v>516.70000000000005</v>
      </c>
      <c r="X155" s="511"/>
      <c r="Y155" s="519">
        <f>SUBTOTAL(9,Y152:Y154)</f>
        <v>6139.08</v>
      </c>
      <c r="Z155" s="515"/>
      <c r="AA155" s="519">
        <f>SUBTOTAL(9,AA152:AA154)</f>
        <v>6140.1815999999999</v>
      </c>
      <c r="AB155" s="516"/>
      <c r="AC155" s="519">
        <f>SUBTOTAL(9,AC152:AC154)</f>
        <v>6141.3052319999997</v>
      </c>
      <c r="AD155" s="516"/>
      <c r="AE155" s="519">
        <f>SUBTOTAL(9,AE152:AE154)</f>
        <v>6142.4513366399997</v>
      </c>
      <c r="AG155" s="482"/>
      <c r="AH155" s="482"/>
      <c r="AI155" s="520"/>
      <c r="AJ155" s="520"/>
      <c r="AK155" s="520"/>
      <c r="AL155" s="520"/>
      <c r="AM155" s="520"/>
      <c r="AN155" s="520"/>
      <c r="AO155" s="520"/>
    </row>
    <row r="156" spans="2:41" outlineLevel="1" x14ac:dyDescent="0.25">
      <c r="B156" s="376">
        <v>6271</v>
      </c>
      <c r="C156" s="302" t="s">
        <v>209</v>
      </c>
      <c r="K156" s="522">
        <f>K130*(K13+K54+K89)</f>
        <v>0</v>
      </c>
      <c r="L156" s="522">
        <f t="shared" si="129"/>
        <v>0</v>
      </c>
      <c r="M156" s="522">
        <f t="shared" si="129"/>
        <v>0</v>
      </c>
      <c r="N156" s="522">
        <f t="shared" si="129"/>
        <v>0</v>
      </c>
      <c r="O156" s="522">
        <f t="shared" si="129"/>
        <v>0</v>
      </c>
      <c r="P156" s="522">
        <f t="shared" si="129"/>
        <v>0</v>
      </c>
      <c r="Q156" s="522">
        <f t="shared" si="129"/>
        <v>0</v>
      </c>
      <c r="R156" s="522">
        <f t="shared" si="129"/>
        <v>0</v>
      </c>
      <c r="S156" s="522">
        <f t="shared" si="129"/>
        <v>0</v>
      </c>
      <c r="T156" s="522">
        <f t="shared" si="129"/>
        <v>0</v>
      </c>
      <c r="U156" s="522">
        <f t="shared" si="129"/>
        <v>0</v>
      </c>
      <c r="V156" s="522">
        <f t="shared" si="129"/>
        <v>0</v>
      </c>
      <c r="W156" s="522">
        <f t="shared" si="129"/>
        <v>0</v>
      </c>
      <c r="X156" s="379"/>
      <c r="Y156" s="525">
        <f>Y130*(Y13+Y54+Y89)</f>
        <v>0</v>
      </c>
      <c r="Z156" s="526"/>
      <c r="AA156" s="525">
        <f>AA130*(AA13+AA54+AA89)</f>
        <v>0</v>
      </c>
      <c r="AB156" s="527"/>
      <c r="AC156" s="525">
        <f>AC130*(AC13+AC54+AC89)</f>
        <v>0</v>
      </c>
      <c r="AD156" s="527"/>
      <c r="AE156" s="525">
        <f>AE130*(AE13+AE54+AE89)</f>
        <v>0</v>
      </c>
      <c r="AG156" s="482">
        <f>VLOOKUP(B156,'FY21'!C:AC,22)</f>
        <v>-328.38723937499998</v>
      </c>
      <c r="AH156" s="482">
        <f t="shared" si="116"/>
        <v>328.38723937499998</v>
      </c>
    </row>
    <row r="157" spans="2:41" outlineLevel="1" x14ac:dyDescent="0.25">
      <c r="B157" s="376">
        <v>6274</v>
      </c>
      <c r="C157" s="302" t="s">
        <v>217</v>
      </c>
      <c r="K157" s="522">
        <f>K130*(K24+K67+K101)</f>
        <v>4001.8327499999996</v>
      </c>
      <c r="L157" s="522">
        <f t="shared" si="129"/>
        <v>333.48606249999995</v>
      </c>
      <c r="M157" s="522">
        <f t="shared" si="129"/>
        <v>333.48606249999995</v>
      </c>
      <c r="N157" s="522">
        <f t="shared" si="129"/>
        <v>333.48606249999995</v>
      </c>
      <c r="O157" s="522">
        <f t="shared" si="129"/>
        <v>333.48606249999995</v>
      </c>
      <c r="P157" s="522">
        <f t="shared" si="129"/>
        <v>333.48606249999995</v>
      </c>
      <c r="Q157" s="522">
        <f t="shared" si="129"/>
        <v>333.48606249999995</v>
      </c>
      <c r="R157" s="522">
        <f t="shared" si="129"/>
        <v>333.48606249999995</v>
      </c>
      <c r="S157" s="522">
        <f t="shared" si="129"/>
        <v>333.48606249999995</v>
      </c>
      <c r="T157" s="522">
        <f t="shared" si="129"/>
        <v>333.48606249999995</v>
      </c>
      <c r="U157" s="522">
        <f t="shared" si="129"/>
        <v>333.48606249999995</v>
      </c>
      <c r="V157" s="522">
        <f t="shared" si="129"/>
        <v>333.48606249999995</v>
      </c>
      <c r="W157" s="522">
        <f t="shared" si="129"/>
        <v>333.48606249999995</v>
      </c>
      <c r="X157" s="379"/>
      <c r="Y157" s="522">
        <f>Y130*(Y24+Y67+Y101)</f>
        <v>3898.269405</v>
      </c>
      <c r="Z157" s="409"/>
      <c r="AA157" s="522">
        <f>AA130*(AA24+AA67+AA101)</f>
        <v>3976.2347931000008</v>
      </c>
      <c r="AB157" s="523"/>
      <c r="AC157" s="522">
        <f>AC130*(AC24+AC67+AC101)</f>
        <v>4055.759488962</v>
      </c>
      <c r="AD157" s="523"/>
      <c r="AE157" s="522">
        <f>AE130*(AE24+AE67+AE101)</f>
        <v>4136.8746787412401</v>
      </c>
      <c r="AG157" s="482">
        <f>VLOOKUP(B157,'FY21'!C:AC,22)</f>
        <v>3433.7854649999999</v>
      </c>
      <c r="AH157" s="482">
        <f t="shared" si="116"/>
        <v>568.04728499999965</v>
      </c>
    </row>
    <row r="158" spans="2:41" outlineLevel="1" x14ac:dyDescent="0.25">
      <c r="B158" s="376">
        <v>6277</v>
      </c>
      <c r="C158" s="302" t="s">
        <v>218</v>
      </c>
      <c r="K158" s="522">
        <f>K130*(K41+K48+K83+K115)</f>
        <v>4867.2396675</v>
      </c>
      <c r="L158" s="522">
        <f t="shared" si="129"/>
        <v>405.60330562500002</v>
      </c>
      <c r="M158" s="522">
        <f t="shared" si="129"/>
        <v>405.60330562500002</v>
      </c>
      <c r="N158" s="522">
        <f t="shared" si="129"/>
        <v>405.60330562500002</v>
      </c>
      <c r="O158" s="522">
        <f t="shared" si="129"/>
        <v>405.60330562500002</v>
      </c>
      <c r="P158" s="522">
        <f t="shared" si="129"/>
        <v>405.60330562500002</v>
      </c>
      <c r="Q158" s="522">
        <f t="shared" si="129"/>
        <v>405.60330562500002</v>
      </c>
      <c r="R158" s="522">
        <f t="shared" si="129"/>
        <v>405.60330562500002</v>
      </c>
      <c r="S158" s="522">
        <f t="shared" si="129"/>
        <v>405.60330562500002</v>
      </c>
      <c r="T158" s="522">
        <f t="shared" si="129"/>
        <v>405.60330562500002</v>
      </c>
      <c r="U158" s="522">
        <f t="shared" si="129"/>
        <v>405.60330562500002</v>
      </c>
      <c r="V158" s="522">
        <f t="shared" si="129"/>
        <v>405.60330562500002</v>
      </c>
      <c r="W158" s="522">
        <f t="shared" si="129"/>
        <v>405.60330562500002</v>
      </c>
      <c r="X158" s="379"/>
      <c r="Y158" s="522">
        <f>Y130*(Y41+Y48+Y83+Y115)</f>
        <v>5177.9991883499988</v>
      </c>
      <c r="Z158" s="409"/>
      <c r="AA158" s="522">
        <f>AA130*(AA41+AA48+AA83+AA115)</f>
        <v>5281.5591721169985</v>
      </c>
      <c r="AB158" s="523"/>
      <c r="AC158" s="522">
        <f>AC130*(AC41+AC48+AC83+AC115)</f>
        <v>5387.1903555593399</v>
      </c>
      <c r="AD158" s="523"/>
      <c r="AE158" s="522">
        <f>AE130*(AE41+AE48+AE83+AE115)</f>
        <v>5494.9341626705263</v>
      </c>
      <c r="AG158" s="482">
        <f>VLOOKUP(B158,'FY21'!C:AC,22)</f>
        <v>4840.3290367968739</v>
      </c>
      <c r="AH158" s="482">
        <f t="shared" si="116"/>
        <v>26.910630703126117</v>
      </c>
    </row>
    <row r="159" spans="2:41" x14ac:dyDescent="0.25">
      <c r="B159" s="304"/>
      <c r="C159" s="311" t="s">
        <v>83</v>
      </c>
      <c r="K159" s="643">
        <f>SUBTOTAL(9,K156:K158)</f>
        <v>8869.0724174999996</v>
      </c>
      <c r="L159" s="643">
        <f>SUBTOTAL(9,L156:L158)</f>
        <v>739.08936812499996</v>
      </c>
      <c r="M159" s="643">
        <f t="shared" ref="M159:W159" si="131">SUBTOTAL(9,M156:M158)</f>
        <v>739.08936812499996</v>
      </c>
      <c r="N159" s="643">
        <f t="shared" si="131"/>
        <v>739.08936812499996</v>
      </c>
      <c r="O159" s="643">
        <f t="shared" si="131"/>
        <v>739.08936812499996</v>
      </c>
      <c r="P159" s="643">
        <f t="shared" si="131"/>
        <v>739.08936812499996</v>
      </c>
      <c r="Q159" s="643">
        <f t="shared" si="131"/>
        <v>739.08936812499996</v>
      </c>
      <c r="R159" s="643">
        <f t="shared" si="131"/>
        <v>739.08936812499996</v>
      </c>
      <c r="S159" s="643">
        <f t="shared" si="131"/>
        <v>739.08936812499996</v>
      </c>
      <c r="T159" s="643">
        <f t="shared" si="131"/>
        <v>739.08936812499996</v>
      </c>
      <c r="U159" s="643">
        <f t="shared" si="131"/>
        <v>739.08936812499996</v>
      </c>
      <c r="V159" s="643">
        <f t="shared" si="131"/>
        <v>739.08936812499996</v>
      </c>
      <c r="W159" s="643">
        <f t="shared" si="131"/>
        <v>739.08936812499996</v>
      </c>
      <c r="X159" s="379"/>
      <c r="Y159" s="524">
        <f>SUBTOTAL(9,Y156:Y158)</f>
        <v>9076.2685933499997</v>
      </c>
      <c r="Z159" s="409"/>
      <c r="AA159" s="524">
        <f>SUBTOTAL(9,AA156:AA158)</f>
        <v>9257.7939652169989</v>
      </c>
      <c r="AB159" s="523"/>
      <c r="AC159" s="524">
        <f>SUBTOTAL(9,AC156:AC158)</f>
        <v>9442.9498445213394</v>
      </c>
      <c r="AD159" s="523"/>
      <c r="AE159" s="524">
        <f>SUBTOTAL(9,AE156:AE158)</f>
        <v>9631.8088414117665</v>
      </c>
      <c r="AG159" s="482"/>
      <c r="AH159" s="482"/>
      <c r="AI159" s="520"/>
      <c r="AJ159" s="520"/>
      <c r="AK159" s="520"/>
      <c r="AL159" s="520"/>
      <c r="AM159" s="520"/>
      <c r="AN159" s="520"/>
      <c r="AO159" s="520"/>
    </row>
    <row r="160" spans="2:41" outlineLevel="1" x14ac:dyDescent="0.25">
      <c r="B160" s="503">
        <v>6281</v>
      </c>
      <c r="C160" s="504" t="s">
        <v>193</v>
      </c>
      <c r="D160" s="505"/>
      <c r="E160" s="506"/>
      <c r="F160" s="507"/>
      <c r="G160" s="507"/>
      <c r="H160" s="507"/>
      <c r="I160" s="508"/>
      <c r="J160" s="505"/>
      <c r="K160" s="509">
        <f>K135*I13</f>
        <v>0</v>
      </c>
      <c r="L160" s="509">
        <f t="shared" ref="L160:W160" si="132">SUM(L10:L11)*$F$135</f>
        <v>0</v>
      </c>
      <c r="M160" s="509">
        <f t="shared" si="132"/>
        <v>0</v>
      </c>
      <c r="N160" s="509">
        <f t="shared" si="132"/>
        <v>0</v>
      </c>
      <c r="O160" s="509">
        <f t="shared" si="132"/>
        <v>0</v>
      </c>
      <c r="P160" s="509">
        <f t="shared" si="132"/>
        <v>0</v>
      </c>
      <c r="Q160" s="509">
        <f t="shared" si="132"/>
        <v>0</v>
      </c>
      <c r="R160" s="509">
        <f t="shared" si="132"/>
        <v>0</v>
      </c>
      <c r="S160" s="509">
        <f t="shared" si="132"/>
        <v>0</v>
      </c>
      <c r="T160" s="509">
        <f t="shared" si="132"/>
        <v>0</v>
      </c>
      <c r="U160" s="509">
        <f t="shared" si="132"/>
        <v>0</v>
      </c>
      <c r="V160" s="509">
        <f t="shared" si="132"/>
        <v>0</v>
      </c>
      <c r="W160" s="509">
        <f t="shared" si="132"/>
        <v>0</v>
      </c>
      <c r="X160" s="511"/>
      <c r="Y160" s="510">
        <f>Y135*X13</f>
        <v>0</v>
      </c>
      <c r="Z160" s="512"/>
      <c r="AA160" s="510">
        <f>AA135*Z13</f>
        <v>0</v>
      </c>
      <c r="AB160" s="513"/>
      <c r="AC160" s="510">
        <f>AC135*AB13</f>
        <v>0</v>
      </c>
      <c r="AD160" s="513"/>
      <c r="AE160" s="510">
        <f>AE135*AD13</f>
        <v>0</v>
      </c>
      <c r="AG160" s="482">
        <f>VLOOKUP(B160,'FY21'!C:AC,22)</f>
        <v>-4860</v>
      </c>
      <c r="AH160" s="482">
        <f t="shared" si="116"/>
        <v>4860</v>
      </c>
    </row>
    <row r="161" spans="2:41" outlineLevel="1" x14ac:dyDescent="0.25">
      <c r="B161" s="503">
        <v>6284</v>
      </c>
      <c r="C161" s="504" t="s">
        <v>204</v>
      </c>
      <c r="D161" s="505"/>
      <c r="E161" s="506"/>
      <c r="F161" s="507"/>
      <c r="G161" s="507"/>
      <c r="H161" s="507"/>
      <c r="I161" s="508"/>
      <c r="J161" s="505"/>
      <c r="K161" s="509">
        <f>K135*I24</f>
        <v>19440</v>
      </c>
      <c r="L161" s="509">
        <f t="shared" ref="L161:W161" si="133">SUM(L16:L23)*$F$135</f>
        <v>1620</v>
      </c>
      <c r="M161" s="509">
        <f t="shared" si="133"/>
        <v>1620</v>
      </c>
      <c r="N161" s="509">
        <f t="shared" si="133"/>
        <v>1620</v>
      </c>
      <c r="O161" s="509">
        <f t="shared" si="133"/>
        <v>1620</v>
      </c>
      <c r="P161" s="509">
        <f t="shared" si="133"/>
        <v>1620</v>
      </c>
      <c r="Q161" s="509">
        <f t="shared" si="133"/>
        <v>1620</v>
      </c>
      <c r="R161" s="509">
        <f t="shared" si="133"/>
        <v>1620</v>
      </c>
      <c r="S161" s="509">
        <f t="shared" si="133"/>
        <v>1620</v>
      </c>
      <c r="T161" s="509">
        <f t="shared" si="133"/>
        <v>1620</v>
      </c>
      <c r="U161" s="509">
        <f t="shared" si="133"/>
        <v>1620</v>
      </c>
      <c r="V161" s="509">
        <f t="shared" si="133"/>
        <v>1620</v>
      </c>
      <c r="W161" s="509">
        <f t="shared" si="133"/>
        <v>1620</v>
      </c>
      <c r="X161" s="511"/>
      <c r="Y161" s="514">
        <f>Y135*X24</f>
        <v>21384</v>
      </c>
      <c r="Z161" s="515"/>
      <c r="AA161" s="514">
        <f>AA135*Z24</f>
        <v>23522.399999999998</v>
      </c>
      <c r="AB161" s="516"/>
      <c r="AC161" s="514">
        <f>AC135*AB24</f>
        <v>25874.640000000007</v>
      </c>
      <c r="AD161" s="516"/>
      <c r="AE161" s="514">
        <f>AE135*AD24</f>
        <v>28462.104000000007</v>
      </c>
      <c r="AG161" s="482">
        <f>VLOOKUP(B161,'FY21'!C:AC,22)</f>
        <v>14580</v>
      </c>
      <c r="AH161" s="482">
        <f t="shared" si="116"/>
        <v>4860</v>
      </c>
    </row>
    <row r="162" spans="2:41" outlineLevel="1" x14ac:dyDescent="0.25">
      <c r="B162" s="503">
        <v>6287</v>
      </c>
      <c r="C162" s="504" t="s">
        <v>195</v>
      </c>
      <c r="D162" s="505"/>
      <c r="E162" s="506"/>
      <c r="F162" s="507"/>
      <c r="G162" s="507"/>
      <c r="H162" s="507"/>
      <c r="I162" s="508"/>
      <c r="J162" s="505"/>
      <c r="K162" s="509">
        <f>K135*I41</f>
        <v>43740</v>
      </c>
      <c r="L162" s="514">
        <f t="shared" ref="L162:W162" si="134">SUM(L27:L38)*$F$135</f>
        <v>3240</v>
      </c>
      <c r="M162" s="514">
        <f t="shared" si="134"/>
        <v>3240</v>
      </c>
      <c r="N162" s="514">
        <f t="shared" si="134"/>
        <v>3240</v>
      </c>
      <c r="O162" s="514">
        <f t="shared" si="134"/>
        <v>3240</v>
      </c>
      <c r="P162" s="514">
        <f t="shared" si="134"/>
        <v>3240</v>
      </c>
      <c r="Q162" s="514">
        <f t="shared" si="134"/>
        <v>3240</v>
      </c>
      <c r="R162" s="514">
        <f t="shared" si="134"/>
        <v>3240</v>
      </c>
      <c r="S162" s="514">
        <f t="shared" si="134"/>
        <v>3240</v>
      </c>
      <c r="T162" s="514">
        <f t="shared" si="134"/>
        <v>3240</v>
      </c>
      <c r="U162" s="514">
        <f t="shared" si="134"/>
        <v>3240</v>
      </c>
      <c r="V162" s="514">
        <f t="shared" si="134"/>
        <v>3240</v>
      </c>
      <c r="W162" s="514">
        <f t="shared" si="134"/>
        <v>3240</v>
      </c>
      <c r="X162" s="511"/>
      <c r="Y162" s="514">
        <f>Y135*X41</f>
        <v>48114</v>
      </c>
      <c r="Z162" s="515"/>
      <c r="AA162" s="514">
        <f>AA135*Z41</f>
        <v>52925.399999999994</v>
      </c>
      <c r="AB162" s="516"/>
      <c r="AC162" s="514">
        <f>AC135*AB41</f>
        <v>58217.940000000017</v>
      </c>
      <c r="AD162" s="516"/>
      <c r="AE162" s="514">
        <f>AE135*AD41</f>
        <v>64039.734000000011</v>
      </c>
      <c r="AG162" s="482">
        <f>VLOOKUP(B162,'FY21'!C:AC,22)</f>
        <v>38880</v>
      </c>
      <c r="AH162" s="482">
        <f t="shared" si="116"/>
        <v>4860</v>
      </c>
    </row>
    <row r="163" spans="2:41" x14ac:dyDescent="0.25">
      <c r="B163" s="517"/>
      <c r="C163" s="518" t="s">
        <v>240</v>
      </c>
      <c r="D163" s="505"/>
      <c r="E163" s="506"/>
      <c r="F163" s="507"/>
      <c r="G163" s="507"/>
      <c r="H163" s="507"/>
      <c r="I163" s="508"/>
      <c r="J163" s="505"/>
      <c r="K163" s="635">
        <f>SUBTOTAL(9,K160:K162)</f>
        <v>63180</v>
      </c>
      <c r="L163" s="635">
        <f>SUBTOTAL(9,L160:L162)</f>
        <v>4860</v>
      </c>
      <c r="M163" s="635">
        <f t="shared" ref="M163:W163" si="135">SUBTOTAL(9,M160:M162)</f>
        <v>4860</v>
      </c>
      <c r="N163" s="635">
        <f t="shared" si="135"/>
        <v>4860</v>
      </c>
      <c r="O163" s="635">
        <f t="shared" si="135"/>
        <v>4860</v>
      </c>
      <c r="P163" s="635">
        <f t="shared" si="135"/>
        <v>4860</v>
      </c>
      <c r="Q163" s="635">
        <f t="shared" si="135"/>
        <v>4860</v>
      </c>
      <c r="R163" s="635">
        <f t="shared" si="135"/>
        <v>4860</v>
      </c>
      <c r="S163" s="635">
        <f t="shared" si="135"/>
        <v>4860</v>
      </c>
      <c r="T163" s="635">
        <f t="shared" si="135"/>
        <v>4860</v>
      </c>
      <c r="U163" s="635">
        <f t="shared" si="135"/>
        <v>4860</v>
      </c>
      <c r="V163" s="635">
        <f t="shared" si="135"/>
        <v>4860</v>
      </c>
      <c r="W163" s="635">
        <f t="shared" si="135"/>
        <v>4860</v>
      </c>
      <c r="X163" s="511"/>
      <c r="Y163" s="519">
        <f>SUBTOTAL(9,Y160:Y162)</f>
        <v>69498</v>
      </c>
      <c r="Z163" s="515"/>
      <c r="AA163" s="519">
        <f>SUBTOTAL(9,AA160:AA162)</f>
        <v>76447.799999999988</v>
      </c>
      <c r="AB163" s="516"/>
      <c r="AC163" s="519">
        <f>SUBTOTAL(9,AC160:AC162)</f>
        <v>84092.580000000016</v>
      </c>
      <c r="AD163" s="516"/>
      <c r="AE163" s="519">
        <f>SUBTOTAL(9,AE160:AE162)</f>
        <v>92501.838000000018</v>
      </c>
      <c r="AG163" s="446"/>
      <c r="AH163" s="446"/>
      <c r="AI163" s="520"/>
      <c r="AJ163" s="520"/>
      <c r="AK163" s="520"/>
      <c r="AL163" s="520"/>
      <c r="AM163" s="520"/>
      <c r="AN163" s="520"/>
      <c r="AO163" s="520"/>
    </row>
    <row r="164" spans="2:41" x14ac:dyDescent="0.25">
      <c r="B164" s="304"/>
      <c r="C164" s="311" t="s">
        <v>241</v>
      </c>
      <c r="K164" s="643">
        <f>SUBTOTAL(9,K136:K163)</f>
        <v>349267.22658050002</v>
      </c>
      <c r="L164" s="643">
        <f t="shared" ref="L164:W164" si="136">SUBTOTAL(9,L136:L163)</f>
        <v>28564.448798375</v>
      </c>
      <c r="M164" s="643">
        <f t="shared" si="136"/>
        <v>28627.958798375003</v>
      </c>
      <c r="N164" s="643">
        <f t="shared" si="136"/>
        <v>28638.485798375001</v>
      </c>
      <c r="O164" s="643">
        <f t="shared" si="136"/>
        <v>28682.565798375002</v>
      </c>
      <c r="P164" s="643">
        <f t="shared" si="136"/>
        <v>28661.540798375001</v>
      </c>
      <c r="Q164" s="643">
        <f t="shared" si="136"/>
        <v>28640.805798375</v>
      </c>
      <c r="R164" s="643">
        <f t="shared" si="136"/>
        <v>28679.955798375002</v>
      </c>
      <c r="S164" s="643">
        <f t="shared" si="136"/>
        <v>28639.500798375</v>
      </c>
      <c r="T164" s="643">
        <f t="shared" si="136"/>
        <v>28667.485798375001</v>
      </c>
      <c r="U164" s="643">
        <f t="shared" si="136"/>
        <v>28692.135798375002</v>
      </c>
      <c r="V164" s="643">
        <f t="shared" si="136"/>
        <v>28692.193798375003</v>
      </c>
      <c r="W164" s="643">
        <f t="shared" si="136"/>
        <v>28919.698798375</v>
      </c>
      <c r="X164" s="379"/>
      <c r="Y164" s="524">
        <f>SUBTOTAL(9,Y136:Y163)</f>
        <v>370168.98963860999</v>
      </c>
      <c r="Z164" s="409"/>
      <c r="AA164" s="524">
        <f>SUBTOTAL(9,AA136:AA163)</f>
        <v>383010.52943138219</v>
      </c>
      <c r="AB164" s="523"/>
      <c r="AC164" s="524">
        <f>SUBTOTAL(9,AC136:AC163)</f>
        <v>396664.88402000983</v>
      </c>
      <c r="AD164" s="523"/>
      <c r="AE164" s="524">
        <f>SUBTOTAL(9,AE136:AE163)</f>
        <v>411203.90810041002</v>
      </c>
      <c r="AG164" s="446"/>
      <c r="AH164" s="446"/>
    </row>
    <row r="165" spans="2:41" x14ac:dyDescent="0.25">
      <c r="K165" s="529"/>
      <c r="L165" s="520"/>
      <c r="M165" s="520"/>
      <c r="N165" s="520"/>
      <c r="O165" s="520"/>
      <c r="P165" s="520"/>
      <c r="Q165" s="520"/>
      <c r="R165" s="520"/>
      <c r="S165" s="520"/>
      <c r="T165" s="520"/>
      <c r="U165" s="520"/>
      <c r="V165" s="520"/>
      <c r="W165" s="520"/>
      <c r="AG165" s="446"/>
      <c r="AH165" s="446"/>
    </row>
    <row r="166" spans="2:41" x14ac:dyDescent="0.25">
      <c r="Y166" s="520"/>
      <c r="AG166" s="446"/>
      <c r="AH166" s="446"/>
    </row>
    <row r="167" spans="2:41" x14ac:dyDescent="0.25">
      <c r="Y167" s="520"/>
      <c r="AG167" s="446"/>
      <c r="AH167" s="446"/>
    </row>
    <row r="168" spans="2:41" x14ac:dyDescent="0.25">
      <c r="Y168" s="520"/>
      <c r="AG168" s="446"/>
      <c r="AH168" s="446"/>
    </row>
    <row r="169" spans="2:41" x14ac:dyDescent="0.25">
      <c r="Y169" s="520"/>
      <c r="AG169" s="446"/>
      <c r="AH169" s="446"/>
    </row>
    <row r="170" spans="2:41" x14ac:dyDescent="0.25">
      <c r="Y170" s="520"/>
      <c r="AG170" s="446"/>
      <c r="AH170" s="446"/>
    </row>
    <row r="171" spans="2:41" x14ac:dyDescent="0.25">
      <c r="Y171" s="520"/>
      <c r="AG171" s="446"/>
      <c r="AH171" s="446"/>
    </row>
    <row r="172" spans="2:41" x14ac:dyDescent="0.25">
      <c r="AG172" s="446"/>
      <c r="AH172" s="446"/>
    </row>
    <row r="173" spans="2:41" x14ac:dyDescent="0.25">
      <c r="AG173" s="446"/>
      <c r="AH173" s="446"/>
    </row>
    <row r="174" spans="2:41" x14ac:dyDescent="0.25">
      <c r="AG174" s="446"/>
      <c r="AH174" s="446"/>
    </row>
    <row r="175" spans="2:41" x14ac:dyDescent="0.25">
      <c r="AG175" s="446"/>
      <c r="AH175" s="446"/>
    </row>
    <row r="176" spans="2:41" x14ac:dyDescent="0.25">
      <c r="AG176" s="446"/>
      <c r="AH176" s="446"/>
    </row>
    <row r="177" spans="33:34" x14ac:dyDescent="0.25">
      <c r="AG177" s="446"/>
      <c r="AH177" s="446"/>
    </row>
    <row r="178" spans="33:34" x14ac:dyDescent="0.25">
      <c r="AG178" s="446"/>
      <c r="AH178" s="446"/>
    </row>
    <row r="179" spans="33:34" x14ac:dyDescent="0.25">
      <c r="AG179" s="446"/>
      <c r="AH179" s="446"/>
    </row>
    <row r="180" spans="33:34" x14ac:dyDescent="0.25">
      <c r="AG180" s="446"/>
      <c r="AH180" s="446"/>
    </row>
    <row r="181" spans="33:34" x14ac:dyDescent="0.25">
      <c r="AG181" s="446"/>
      <c r="AH181" s="446"/>
    </row>
    <row r="182" spans="33:34" x14ac:dyDescent="0.25">
      <c r="AG182" s="446"/>
      <c r="AH182" s="446"/>
    </row>
    <row r="183" spans="33:34" x14ac:dyDescent="0.25">
      <c r="AG183" s="446"/>
      <c r="AH183" s="446"/>
    </row>
    <row r="184" spans="33:34" x14ac:dyDescent="0.25">
      <c r="AG184" s="446"/>
      <c r="AH184" s="446"/>
    </row>
    <row r="185" spans="33:34" x14ac:dyDescent="0.25">
      <c r="AG185" s="446"/>
      <c r="AH185" s="446"/>
    </row>
    <row r="186" spans="33:34" x14ac:dyDescent="0.25">
      <c r="AG186" s="446"/>
      <c r="AH186" s="446"/>
    </row>
    <row r="187" spans="33:34" x14ac:dyDescent="0.25">
      <c r="AG187" s="446"/>
      <c r="AH187" s="446"/>
    </row>
    <row r="188" spans="33:34" x14ac:dyDescent="0.25">
      <c r="AG188" s="446"/>
      <c r="AH188" s="446"/>
    </row>
    <row r="189" spans="33:34" x14ac:dyDescent="0.25">
      <c r="AG189" s="446"/>
      <c r="AH189" s="446"/>
    </row>
    <row r="190" spans="33:34" x14ac:dyDescent="0.25">
      <c r="AG190" s="446"/>
      <c r="AH190" s="446"/>
    </row>
    <row r="191" spans="33:34" x14ac:dyDescent="0.25">
      <c r="AG191" s="446"/>
      <c r="AH191" s="446"/>
    </row>
    <row r="192" spans="33:34" x14ac:dyDescent="0.25">
      <c r="AG192" s="446"/>
      <c r="AH192" s="446"/>
    </row>
    <row r="193" spans="33:34" x14ac:dyDescent="0.25">
      <c r="AG193" s="446"/>
      <c r="AH193" s="446"/>
    </row>
    <row r="194" spans="33:34" x14ac:dyDescent="0.25">
      <c r="AG194" s="446"/>
      <c r="AH194" s="446"/>
    </row>
    <row r="195" spans="33:34" x14ac:dyDescent="0.25">
      <c r="AG195" s="446"/>
      <c r="AH195" s="446"/>
    </row>
    <row r="196" spans="33:34" x14ac:dyDescent="0.25">
      <c r="AG196" s="446"/>
      <c r="AH196" s="446"/>
    </row>
    <row r="197" spans="33:34" x14ac:dyDescent="0.25">
      <c r="AG197" s="446"/>
      <c r="AH197" s="446"/>
    </row>
    <row r="198" spans="33:34" x14ac:dyDescent="0.25">
      <c r="AG198" s="446"/>
      <c r="AH198" s="446"/>
    </row>
    <row r="199" spans="33:34" x14ac:dyDescent="0.25">
      <c r="AG199" s="446"/>
      <c r="AH199" s="446"/>
    </row>
    <row r="200" spans="33:34" x14ac:dyDescent="0.25">
      <c r="AG200" s="446"/>
      <c r="AH200" s="446"/>
    </row>
    <row r="201" spans="33:34" x14ac:dyDescent="0.25">
      <c r="AG201" s="446"/>
      <c r="AH201" s="446"/>
    </row>
    <row r="202" spans="33:34" x14ac:dyDescent="0.25">
      <c r="AG202" s="446"/>
      <c r="AH202" s="446"/>
    </row>
    <row r="203" spans="33:34" x14ac:dyDescent="0.25">
      <c r="AG203" s="446"/>
      <c r="AH203" s="446"/>
    </row>
    <row r="204" spans="33:34" x14ac:dyDescent="0.25">
      <c r="AG204" s="446"/>
      <c r="AH204" s="446"/>
    </row>
    <row r="205" spans="33:34" x14ac:dyDescent="0.25">
      <c r="AG205" s="446"/>
      <c r="AH205" s="446"/>
    </row>
    <row r="206" spans="33:34" x14ac:dyDescent="0.25">
      <c r="AG206" s="446"/>
      <c r="AH206" s="446"/>
    </row>
    <row r="207" spans="33:34" x14ac:dyDescent="0.25">
      <c r="AG207" s="446"/>
      <c r="AH207" s="446"/>
    </row>
    <row r="208" spans="33:34" x14ac:dyDescent="0.25">
      <c r="AG208" s="446"/>
      <c r="AH208" s="446"/>
    </row>
    <row r="209" spans="33:34" x14ac:dyDescent="0.25">
      <c r="AG209" s="446"/>
      <c r="AH209" s="446"/>
    </row>
    <row r="210" spans="33:34" x14ac:dyDescent="0.25">
      <c r="AG210" s="446"/>
      <c r="AH210" s="446"/>
    </row>
    <row r="211" spans="33:34" x14ac:dyDescent="0.25">
      <c r="AG211" s="446"/>
      <c r="AH211" s="446"/>
    </row>
    <row r="212" spans="33:34" x14ac:dyDescent="0.25">
      <c r="AG212" s="446"/>
      <c r="AH212" s="446"/>
    </row>
    <row r="213" spans="33:34" x14ac:dyDescent="0.25">
      <c r="AG213" s="446"/>
      <c r="AH213" s="446"/>
    </row>
    <row r="214" spans="33:34" x14ac:dyDescent="0.25">
      <c r="AG214" s="446"/>
      <c r="AH214" s="446"/>
    </row>
    <row r="215" spans="33:34" x14ac:dyDescent="0.25">
      <c r="AG215" s="446"/>
      <c r="AH215" s="446"/>
    </row>
    <row r="216" spans="33:34" x14ac:dyDescent="0.25">
      <c r="AG216" s="446"/>
      <c r="AH216" s="446"/>
    </row>
    <row r="217" spans="33:34" x14ac:dyDescent="0.25">
      <c r="AG217" s="446"/>
      <c r="AH217" s="446"/>
    </row>
    <row r="218" spans="33:34" x14ac:dyDescent="0.25">
      <c r="AG218" s="446"/>
      <c r="AH218" s="446"/>
    </row>
    <row r="219" spans="33:34" x14ac:dyDescent="0.25">
      <c r="AG219" s="446"/>
      <c r="AH219" s="446"/>
    </row>
    <row r="220" spans="33:34" x14ac:dyDescent="0.25">
      <c r="AG220" s="446"/>
      <c r="AH220" s="446"/>
    </row>
    <row r="221" spans="33:34" x14ac:dyDescent="0.25">
      <c r="AG221" s="446"/>
      <c r="AH221" s="446"/>
    </row>
    <row r="222" spans="33:34" x14ac:dyDescent="0.25">
      <c r="AG222" s="446"/>
      <c r="AH222" s="446"/>
    </row>
    <row r="223" spans="33:34" x14ac:dyDescent="0.25">
      <c r="AG223" s="446"/>
      <c r="AH223" s="446"/>
    </row>
    <row r="224" spans="33:34" x14ac:dyDescent="0.25">
      <c r="AG224" s="446"/>
      <c r="AH224" s="446"/>
    </row>
    <row r="225" spans="33:34" x14ac:dyDescent="0.25">
      <c r="AG225" s="446"/>
      <c r="AH225" s="446"/>
    </row>
    <row r="226" spans="33:34" x14ac:dyDescent="0.25">
      <c r="AG226" s="446"/>
      <c r="AH226" s="446"/>
    </row>
    <row r="227" spans="33:34" x14ac:dyDescent="0.25">
      <c r="AG227" s="446"/>
      <c r="AH227" s="446"/>
    </row>
    <row r="228" spans="33:34" x14ac:dyDescent="0.25">
      <c r="AG228" s="446"/>
      <c r="AH228" s="446"/>
    </row>
    <row r="229" spans="33:34" x14ac:dyDescent="0.25">
      <c r="AG229" s="446"/>
      <c r="AH229" s="446"/>
    </row>
    <row r="230" spans="33:34" x14ac:dyDescent="0.25">
      <c r="AG230" s="446"/>
      <c r="AH230" s="446"/>
    </row>
    <row r="231" spans="33:34" x14ac:dyDescent="0.25">
      <c r="AG231" s="446"/>
      <c r="AH231" s="446"/>
    </row>
    <row r="232" spans="33:34" x14ac:dyDescent="0.25">
      <c r="AG232" s="446"/>
      <c r="AH232" s="446"/>
    </row>
    <row r="233" spans="33:34" x14ac:dyDescent="0.25">
      <c r="AG233" s="446"/>
      <c r="AH233" s="446"/>
    </row>
    <row r="234" spans="33:34" x14ac:dyDescent="0.25">
      <c r="AG234" s="446"/>
      <c r="AH234" s="446"/>
    </row>
    <row r="235" spans="33:34" x14ac:dyDescent="0.25">
      <c r="AG235" s="446"/>
      <c r="AH235" s="446"/>
    </row>
    <row r="236" spans="33:34" x14ac:dyDescent="0.25">
      <c r="AG236" s="446"/>
      <c r="AH236" s="446"/>
    </row>
    <row r="237" spans="33:34" x14ac:dyDescent="0.25">
      <c r="AG237" s="446"/>
      <c r="AH237" s="446"/>
    </row>
    <row r="238" spans="33:34" x14ac:dyDescent="0.25">
      <c r="AG238" s="446"/>
      <c r="AH238" s="446"/>
    </row>
    <row r="239" spans="33:34" x14ac:dyDescent="0.25">
      <c r="AG239" s="446"/>
      <c r="AH239" s="446"/>
    </row>
    <row r="240" spans="33:34" x14ac:dyDescent="0.25">
      <c r="AG240" s="446"/>
      <c r="AH240" s="446"/>
    </row>
    <row r="241" spans="33:34" x14ac:dyDescent="0.25">
      <c r="AG241" s="446"/>
      <c r="AH241" s="446"/>
    </row>
    <row r="242" spans="33:34" x14ac:dyDescent="0.25">
      <c r="AG242" s="446"/>
      <c r="AH242" s="446"/>
    </row>
    <row r="243" spans="33:34" x14ac:dyDescent="0.25">
      <c r="AG243" s="446"/>
      <c r="AH243" s="446"/>
    </row>
    <row r="244" spans="33:34" x14ac:dyDescent="0.25">
      <c r="AG244" s="446"/>
      <c r="AH244" s="446"/>
    </row>
    <row r="245" spans="33:34" x14ac:dyDescent="0.25">
      <c r="AG245" s="446"/>
      <c r="AH245" s="446"/>
    </row>
    <row r="246" spans="33:34" x14ac:dyDescent="0.25">
      <c r="AG246" s="446"/>
      <c r="AH246" s="446"/>
    </row>
    <row r="247" spans="33:34" x14ac:dyDescent="0.25">
      <c r="AG247" s="446"/>
      <c r="AH247" s="446"/>
    </row>
    <row r="248" spans="33:34" x14ac:dyDescent="0.25">
      <c r="AG248" s="446"/>
      <c r="AH248" s="446"/>
    </row>
    <row r="249" spans="33:34" x14ac:dyDescent="0.25">
      <c r="AG249" s="446"/>
      <c r="AH249" s="446"/>
    </row>
    <row r="250" spans="33:34" x14ac:dyDescent="0.25">
      <c r="AG250" s="446"/>
      <c r="AH250" s="446"/>
    </row>
    <row r="251" spans="33:34" x14ac:dyDescent="0.25">
      <c r="AG251" s="446"/>
      <c r="AH251" s="446"/>
    </row>
    <row r="252" spans="33:34" x14ac:dyDescent="0.25">
      <c r="AG252" s="446"/>
      <c r="AH252" s="446"/>
    </row>
    <row r="253" spans="33:34" x14ac:dyDescent="0.25">
      <c r="AG253" s="446"/>
      <c r="AH253" s="446"/>
    </row>
    <row r="254" spans="33:34" x14ac:dyDescent="0.25">
      <c r="AG254" s="446"/>
      <c r="AH254" s="446"/>
    </row>
    <row r="255" spans="33:34" x14ac:dyDescent="0.25">
      <c r="AG255" s="446"/>
      <c r="AH255" s="446"/>
    </row>
    <row r="256" spans="33:34" x14ac:dyDescent="0.25">
      <c r="AG256" s="446"/>
      <c r="AH256" s="446"/>
    </row>
    <row r="257" spans="33:34" x14ac:dyDescent="0.25">
      <c r="AG257" s="446"/>
      <c r="AH257" s="446"/>
    </row>
    <row r="258" spans="33:34" x14ac:dyDescent="0.25">
      <c r="AG258" s="446"/>
      <c r="AH258" s="446"/>
    </row>
    <row r="259" spans="33:34" x14ac:dyDescent="0.25">
      <c r="AG259" s="446"/>
      <c r="AH259" s="446"/>
    </row>
    <row r="260" spans="33:34" x14ac:dyDescent="0.25">
      <c r="AG260" s="446"/>
      <c r="AH260" s="446"/>
    </row>
    <row r="261" spans="33:34" x14ac:dyDescent="0.25">
      <c r="AG261" s="446"/>
      <c r="AH261" s="446"/>
    </row>
    <row r="262" spans="33:34" x14ac:dyDescent="0.25">
      <c r="AG262" s="446"/>
      <c r="AH262" s="446"/>
    </row>
    <row r="263" spans="33:34" x14ac:dyDescent="0.25">
      <c r="AG263" s="446"/>
      <c r="AH263" s="446"/>
    </row>
    <row r="264" spans="33:34" x14ac:dyDescent="0.25">
      <c r="AG264" s="446"/>
      <c r="AH264" s="446"/>
    </row>
    <row r="265" spans="33:34" x14ac:dyDescent="0.25">
      <c r="AG265" s="446"/>
      <c r="AH265" s="446"/>
    </row>
    <row r="266" spans="33:34" x14ac:dyDescent="0.25">
      <c r="AG266" s="446"/>
      <c r="AH266" s="446"/>
    </row>
    <row r="267" spans="33:34" x14ac:dyDescent="0.25">
      <c r="AG267" s="446"/>
      <c r="AH267" s="446"/>
    </row>
    <row r="268" spans="33:34" x14ac:dyDescent="0.25">
      <c r="AG268" s="446"/>
      <c r="AH268" s="446"/>
    </row>
    <row r="269" spans="33:34" x14ac:dyDescent="0.25">
      <c r="AG269" s="446"/>
      <c r="AH269" s="446"/>
    </row>
    <row r="270" spans="33:34" x14ac:dyDescent="0.25">
      <c r="AG270" s="446"/>
      <c r="AH270" s="446"/>
    </row>
    <row r="271" spans="33:34" x14ac:dyDescent="0.25">
      <c r="AG271" s="446"/>
      <c r="AH271" s="446"/>
    </row>
    <row r="272" spans="33:34" x14ac:dyDescent="0.25">
      <c r="AG272" s="446"/>
      <c r="AH272" s="446"/>
    </row>
    <row r="273" spans="33:34" x14ac:dyDescent="0.25">
      <c r="AG273" s="446"/>
      <c r="AH273" s="446"/>
    </row>
    <row r="274" spans="33:34" x14ac:dyDescent="0.25">
      <c r="AG274" s="446"/>
      <c r="AH274" s="446"/>
    </row>
    <row r="275" spans="33:34" x14ac:dyDescent="0.25">
      <c r="AG275" s="446"/>
      <c r="AH275" s="446"/>
    </row>
    <row r="276" spans="33:34" x14ac:dyDescent="0.25">
      <c r="AG276" s="446"/>
      <c r="AH276" s="446"/>
    </row>
    <row r="277" spans="33:34" x14ac:dyDescent="0.25">
      <c r="AG277" s="446"/>
      <c r="AH277" s="446"/>
    </row>
    <row r="278" spans="33:34" x14ac:dyDescent="0.25">
      <c r="AG278" s="446"/>
      <c r="AH278" s="446"/>
    </row>
    <row r="279" spans="33:34" x14ac:dyDescent="0.25">
      <c r="AG279" s="446"/>
      <c r="AH279" s="446"/>
    </row>
    <row r="280" spans="33:34" x14ac:dyDescent="0.25">
      <c r="AG280" s="446"/>
      <c r="AH280" s="446"/>
    </row>
    <row r="281" spans="33:34" x14ac:dyDescent="0.25">
      <c r="AG281" s="446"/>
      <c r="AH281" s="446"/>
    </row>
    <row r="282" spans="33:34" x14ac:dyDescent="0.25">
      <c r="AG282" s="446"/>
      <c r="AH282" s="446"/>
    </row>
    <row r="283" spans="33:34" x14ac:dyDescent="0.25">
      <c r="AG283" s="446"/>
      <c r="AH283" s="446"/>
    </row>
    <row r="284" spans="33:34" x14ac:dyDescent="0.25">
      <c r="AG284" s="446"/>
      <c r="AH284" s="446"/>
    </row>
    <row r="285" spans="33:34" x14ac:dyDescent="0.25">
      <c r="AG285" s="446"/>
      <c r="AH285" s="446"/>
    </row>
    <row r="286" spans="33:34" x14ac:dyDescent="0.25">
      <c r="AG286" s="446"/>
      <c r="AH286" s="446"/>
    </row>
    <row r="287" spans="33:34" x14ac:dyDescent="0.25">
      <c r="AG287" s="446"/>
      <c r="AH287" s="446"/>
    </row>
    <row r="288" spans="33:34" x14ac:dyDescent="0.25">
      <c r="AG288" s="446"/>
      <c r="AH288" s="446"/>
    </row>
    <row r="289" spans="33:34" x14ac:dyDescent="0.25">
      <c r="AG289" s="446"/>
      <c r="AH289" s="446"/>
    </row>
    <row r="290" spans="33:34" x14ac:dyDescent="0.25">
      <c r="AG290" s="446"/>
      <c r="AH290" s="446"/>
    </row>
    <row r="291" spans="33:34" x14ac:dyDescent="0.25">
      <c r="AG291" s="446"/>
      <c r="AH291" s="446"/>
    </row>
    <row r="292" spans="33:34" x14ac:dyDescent="0.25">
      <c r="AG292" s="446"/>
      <c r="AH292" s="446"/>
    </row>
    <row r="293" spans="33:34" x14ac:dyDescent="0.25">
      <c r="AG293" s="446"/>
      <c r="AH293" s="446"/>
    </row>
    <row r="294" spans="33:34" x14ac:dyDescent="0.25">
      <c r="AG294" s="446"/>
      <c r="AH294" s="446"/>
    </row>
    <row r="295" spans="33:34" x14ac:dyDescent="0.25">
      <c r="AG295" s="446"/>
      <c r="AH295" s="446"/>
    </row>
    <row r="296" spans="33:34" x14ac:dyDescent="0.25">
      <c r="AG296" s="446"/>
      <c r="AH296" s="446"/>
    </row>
    <row r="297" spans="33:34" x14ac:dyDescent="0.25">
      <c r="AG297" s="446"/>
      <c r="AH297" s="446"/>
    </row>
    <row r="298" spans="33:34" x14ac:dyDescent="0.25">
      <c r="AG298" s="446"/>
      <c r="AH298" s="446"/>
    </row>
    <row r="299" spans="33:34" x14ac:dyDescent="0.25">
      <c r="AG299" s="446"/>
      <c r="AH299" s="446"/>
    </row>
    <row r="300" spans="33:34" x14ac:dyDescent="0.25">
      <c r="AG300" s="446"/>
      <c r="AH300" s="446"/>
    </row>
    <row r="301" spans="33:34" x14ac:dyDescent="0.25">
      <c r="AG301" s="446"/>
      <c r="AH301" s="446"/>
    </row>
    <row r="302" spans="33:34" x14ac:dyDescent="0.25">
      <c r="AG302" s="446"/>
      <c r="AH302" s="446"/>
    </row>
    <row r="303" spans="33:34" x14ac:dyDescent="0.25">
      <c r="AG303" s="446"/>
      <c r="AH303" s="446"/>
    </row>
    <row r="304" spans="33:34" x14ac:dyDescent="0.25">
      <c r="AG304" s="446"/>
      <c r="AH304" s="446"/>
    </row>
    <row r="305" spans="33:34" x14ac:dyDescent="0.25">
      <c r="AG305" s="446"/>
      <c r="AH305" s="446"/>
    </row>
    <row r="306" spans="33:34" x14ac:dyDescent="0.25">
      <c r="AG306" s="446"/>
      <c r="AH306" s="446"/>
    </row>
    <row r="307" spans="33:34" x14ac:dyDescent="0.25">
      <c r="AG307" s="446"/>
      <c r="AH307" s="446"/>
    </row>
    <row r="308" spans="33:34" x14ac:dyDescent="0.25">
      <c r="AG308" s="446"/>
      <c r="AH308" s="446"/>
    </row>
    <row r="309" spans="33:34" x14ac:dyDescent="0.25">
      <c r="AG309" s="446"/>
      <c r="AH309" s="446"/>
    </row>
    <row r="310" spans="33:34" x14ac:dyDescent="0.25">
      <c r="AG310" s="446"/>
      <c r="AH310" s="446"/>
    </row>
    <row r="311" spans="33:34" x14ac:dyDescent="0.25">
      <c r="AG311" s="446"/>
      <c r="AH311" s="446"/>
    </row>
    <row r="312" spans="33:34" x14ac:dyDescent="0.25">
      <c r="AG312" s="446"/>
      <c r="AH312" s="446"/>
    </row>
    <row r="313" spans="33:34" x14ac:dyDescent="0.25">
      <c r="AG313" s="446"/>
      <c r="AH313" s="446"/>
    </row>
    <row r="314" spans="33:34" x14ac:dyDescent="0.25">
      <c r="AG314" s="446"/>
      <c r="AH314" s="446"/>
    </row>
    <row r="315" spans="33:34" x14ac:dyDescent="0.25">
      <c r="AG315" s="446"/>
      <c r="AH315" s="446"/>
    </row>
    <row r="316" spans="33:34" x14ac:dyDescent="0.25">
      <c r="AG316" s="446"/>
      <c r="AH316" s="446"/>
    </row>
    <row r="317" spans="33:34" x14ac:dyDescent="0.25">
      <c r="AG317" s="446"/>
      <c r="AH317" s="446"/>
    </row>
    <row r="318" spans="33:34" x14ac:dyDescent="0.25">
      <c r="AG318" s="446"/>
      <c r="AH318" s="446"/>
    </row>
    <row r="319" spans="33:34" x14ac:dyDescent="0.25">
      <c r="AG319" s="446"/>
      <c r="AH319" s="446"/>
    </row>
    <row r="320" spans="33:34" x14ac:dyDescent="0.25">
      <c r="AG320" s="446"/>
      <c r="AH320" s="446"/>
    </row>
    <row r="321" spans="33:34" x14ac:dyDescent="0.25">
      <c r="AG321" s="446"/>
      <c r="AH321" s="446"/>
    </row>
    <row r="322" spans="33:34" x14ac:dyDescent="0.25">
      <c r="AG322" s="446"/>
      <c r="AH322" s="446"/>
    </row>
    <row r="323" spans="33:34" x14ac:dyDescent="0.25">
      <c r="AG323" s="446"/>
      <c r="AH323" s="446"/>
    </row>
    <row r="324" spans="33:34" x14ac:dyDescent="0.25">
      <c r="AG324" s="446"/>
      <c r="AH324" s="446"/>
    </row>
    <row r="325" spans="33:34" x14ac:dyDescent="0.25">
      <c r="AG325" s="446"/>
      <c r="AH325" s="446"/>
    </row>
    <row r="326" spans="33:34" x14ac:dyDescent="0.25">
      <c r="AG326" s="446"/>
      <c r="AH326" s="446"/>
    </row>
    <row r="327" spans="33:34" x14ac:dyDescent="0.25">
      <c r="AG327" s="446"/>
      <c r="AH327" s="446"/>
    </row>
    <row r="328" spans="33:34" x14ac:dyDescent="0.25">
      <c r="AG328" s="446"/>
      <c r="AH328" s="446"/>
    </row>
    <row r="329" spans="33:34" x14ac:dyDescent="0.25">
      <c r="AG329" s="446"/>
      <c r="AH329" s="446"/>
    </row>
    <row r="330" spans="33:34" x14ac:dyDescent="0.25">
      <c r="AG330" s="446"/>
      <c r="AH330" s="446"/>
    </row>
    <row r="331" spans="33:34" x14ac:dyDescent="0.25">
      <c r="AG331" s="446"/>
      <c r="AH331" s="446"/>
    </row>
    <row r="332" spans="33:34" x14ac:dyDescent="0.25">
      <c r="AG332" s="446"/>
      <c r="AH332" s="446"/>
    </row>
    <row r="333" spans="33:34" x14ac:dyDescent="0.25">
      <c r="AG333" s="446"/>
      <c r="AH333" s="446"/>
    </row>
    <row r="334" spans="33:34" x14ac:dyDescent="0.25">
      <c r="AG334" s="446"/>
      <c r="AH334" s="446"/>
    </row>
    <row r="335" spans="33:34" x14ac:dyDescent="0.25">
      <c r="AG335" s="446"/>
      <c r="AH335" s="446"/>
    </row>
    <row r="336" spans="33:34" x14ac:dyDescent="0.25">
      <c r="AG336" s="446"/>
      <c r="AH336" s="446"/>
    </row>
    <row r="337" spans="33:34" x14ac:dyDescent="0.25">
      <c r="AG337" s="446"/>
      <c r="AH337" s="446"/>
    </row>
    <row r="338" spans="33:34" x14ac:dyDescent="0.25">
      <c r="AG338" s="446"/>
      <c r="AH338" s="446"/>
    </row>
    <row r="339" spans="33:34" x14ac:dyDescent="0.25">
      <c r="AG339" s="446"/>
      <c r="AH339" s="446"/>
    </row>
    <row r="340" spans="33:34" x14ac:dyDescent="0.25">
      <c r="AG340" s="446"/>
      <c r="AH340" s="446"/>
    </row>
    <row r="341" spans="33:34" x14ac:dyDescent="0.25">
      <c r="AG341" s="446"/>
      <c r="AH341" s="446"/>
    </row>
    <row r="342" spans="33:34" x14ac:dyDescent="0.25">
      <c r="AG342" s="446"/>
      <c r="AH342" s="446"/>
    </row>
  </sheetData>
  <sheetProtection algorithmName="SHA-512" hashValue="QsY2yQu23bHOEqzmWKpoBm8dJP29l+q3rIyPjXVM0Tk98sh2xaDPjUQn8yRT3yVl6OMydOM3NL6wXnEDRAESBQ==" saltValue="VHOTmrXARCM1HRa24F5alA==" spinCount="100000" sheet="1" selectLockedCells="1" selectUnlockedCells="1"/>
  <mergeCells count="12">
    <mergeCell ref="B118:AE118"/>
    <mergeCell ref="D5:D6"/>
    <mergeCell ref="F5:F6"/>
    <mergeCell ref="I5:AE5"/>
    <mergeCell ref="B5:B6"/>
    <mergeCell ref="X6:Y6"/>
    <mergeCell ref="Z6:AA6"/>
    <mergeCell ref="AB6:AC6"/>
    <mergeCell ref="AD6:AE6"/>
    <mergeCell ref="C5:C6"/>
    <mergeCell ref="E5:E6"/>
    <mergeCell ref="G5:H6"/>
  </mergeCells>
  <phoneticPr fontId="13" type="noConversion"/>
  <pageMargins left="0.7" right="0.7" top="0.75" bottom="0.75" header="0.3" footer="0.3"/>
  <pageSetup orientation="portrait" horizontalDpi="1200" verticalDpi="1200" r:id="rId1"/>
  <ignoredErrors>
    <ignoredError sqref="Y82:AE82 Y12:AE12 Y23:AE23 Y40:AE40 Y14:AE14 AF14:AF15 AF40:AF41 AF39 AF22 Z116 AB116 AD116 Z13 AB13 AD13 Y25:AE25 Z24 AB24 AD24 Z41 AB41 AD41 Y42:AE42 Y49:AE49 Y55:AE55 Z54 AB54 AD54 Y68:AE68 Y84:AE84 Y90:AE90 Y102:AE102 X14 X23 X40 X42 Y47 Y53:AE53 X53 Y66:AE66 X66 X82 Y88 Y100 Y114 AF23:AF26 AF42:AF43 AF47:AF50 AF53:AF56 AF66:AF69 X25 X49 X55 X68 X84 X90 X102 AA88 AC88 AE88 AA100 AC100 AE100 AA114 AC114 AE114 AA47 AC47 AE47" formula="1"/>
  </ignoredError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7" tint="0.79998168889431442"/>
  </sheetPr>
  <dimension ref="A1:AL610"/>
  <sheetViews>
    <sheetView workbookViewId="0">
      <selection sqref="A1:XFD1048576"/>
    </sheetView>
  </sheetViews>
  <sheetFormatPr defaultColWidth="9.140625" defaultRowHeight="15" outlineLevelRow="1" x14ac:dyDescent="0.25"/>
  <cols>
    <col min="1" max="1" width="2.140625" style="15" customWidth="1"/>
    <col min="2" max="2" width="4" style="15" customWidth="1"/>
    <col min="3" max="3" width="9.140625" style="16" customWidth="1"/>
    <col min="4" max="4" width="10.7109375" style="295" bestFit="1" customWidth="1"/>
    <col min="5" max="5" width="73.28515625" style="301" bestFit="1" customWidth="1"/>
    <col min="6" max="6" width="9.85546875" style="283" bestFit="1" customWidth="1"/>
    <col min="7" max="7" width="10.7109375" style="565" bestFit="1" customWidth="1"/>
    <col min="8" max="8" width="11.7109375" style="558" customWidth="1"/>
    <col min="9" max="9" width="2.7109375" style="15" customWidth="1"/>
    <col min="10" max="10" width="9" style="629" customWidth="1"/>
    <col min="11" max="22" width="8.5703125" style="565" customWidth="1"/>
    <col min="23" max="23" width="11.7109375" style="558" customWidth="1"/>
    <col min="24" max="24" width="8.140625" style="15" customWidth="1"/>
    <col min="25" max="25" width="13.140625" style="289" bestFit="1" customWidth="1"/>
    <col min="26" max="26" width="10.7109375" style="289" bestFit="1" customWidth="1"/>
    <col min="27" max="16384" width="9.140625" style="15"/>
  </cols>
  <sheetData>
    <row r="1" spans="1:38" s="1" customFormat="1" ht="21" x14ac:dyDescent="0.35">
      <c r="A1" s="732" t="str">
        <f>'Rev &amp; Enroll'!F5</f>
        <v>Nevada State High School (CSO)</v>
      </c>
      <c r="B1" s="732"/>
      <c r="C1" s="732"/>
      <c r="D1" s="732"/>
      <c r="E1" s="732"/>
      <c r="F1" s="277"/>
      <c r="G1" s="559"/>
      <c r="H1" s="551"/>
      <c r="I1" s="2"/>
      <c r="J1" s="560"/>
      <c r="K1" s="559"/>
      <c r="L1" s="559"/>
      <c r="M1" s="559"/>
      <c r="N1" s="559"/>
      <c r="O1" s="559"/>
      <c r="P1" s="559"/>
      <c r="Q1" s="559"/>
      <c r="R1" s="559"/>
      <c r="S1" s="559"/>
      <c r="T1" s="559"/>
      <c r="U1" s="559"/>
      <c r="V1" s="559"/>
      <c r="W1" s="551"/>
      <c r="X1" s="2"/>
      <c r="Y1" s="284"/>
      <c r="Z1" s="285"/>
      <c r="AA1" s="3"/>
      <c r="AB1" s="3"/>
      <c r="AC1" s="3"/>
      <c r="AD1" s="3"/>
      <c r="AE1" s="3"/>
      <c r="AF1" s="3"/>
      <c r="AG1" s="3"/>
      <c r="AH1" s="2"/>
      <c r="AI1" s="2"/>
      <c r="AK1" s="2"/>
      <c r="AL1" s="2"/>
    </row>
    <row r="2" spans="1:38" s="1" customFormat="1" x14ac:dyDescent="0.25">
      <c r="A2" s="12" t="s">
        <v>135</v>
      </c>
      <c r="B2" s="12"/>
      <c r="C2" s="17"/>
      <c r="D2" s="290"/>
      <c r="E2" s="296"/>
      <c r="F2" s="277"/>
      <c r="G2" s="559"/>
      <c r="H2" s="551"/>
      <c r="I2" s="2"/>
      <c r="J2" s="611"/>
      <c r="K2" s="612"/>
      <c r="L2" s="559"/>
      <c r="M2" s="559"/>
      <c r="N2" s="559"/>
      <c r="O2" s="559"/>
      <c r="P2" s="559"/>
      <c r="Q2" s="559"/>
      <c r="R2" s="559"/>
      <c r="S2" s="559"/>
      <c r="T2" s="559"/>
      <c r="U2" s="559"/>
      <c r="V2" s="559"/>
      <c r="W2" s="551"/>
      <c r="X2" s="2"/>
      <c r="Y2" s="284"/>
      <c r="Z2" s="284"/>
      <c r="AA2" s="2"/>
      <c r="AB2" s="2"/>
      <c r="AE2" s="2"/>
      <c r="AF2" s="2"/>
      <c r="AH2" s="4"/>
      <c r="AI2" s="4"/>
      <c r="AK2" s="4"/>
      <c r="AL2" s="4"/>
    </row>
    <row r="3" spans="1:38" s="6" customFormat="1" ht="13.5" customHeight="1" x14ac:dyDescent="0.2">
      <c r="A3" s="5" t="str">
        <f>'FY21'!A3</f>
        <v>Board Approved: Proposed: 4/16/2020</v>
      </c>
      <c r="B3" s="5"/>
      <c r="C3" s="17"/>
      <c r="D3" s="291"/>
      <c r="E3" s="297"/>
      <c r="F3" s="278"/>
      <c r="G3" s="560"/>
      <c r="H3" s="552"/>
      <c r="I3" s="7"/>
      <c r="J3" s="560"/>
      <c r="K3" s="560"/>
      <c r="L3" s="560"/>
      <c r="M3" s="560"/>
      <c r="N3" s="560"/>
      <c r="O3" s="560"/>
      <c r="P3" s="560"/>
      <c r="Q3" s="560"/>
      <c r="R3" s="560"/>
      <c r="S3" s="560"/>
      <c r="T3" s="560"/>
      <c r="U3" s="560"/>
      <c r="V3" s="560"/>
      <c r="W3" s="552"/>
      <c r="X3" s="7"/>
      <c r="Y3" s="286"/>
      <c r="Z3" s="286"/>
      <c r="AA3" s="7"/>
      <c r="AB3" s="7"/>
      <c r="AC3" s="7"/>
      <c r="AD3" s="7"/>
      <c r="AE3" s="2"/>
      <c r="AF3" s="7"/>
      <c r="AG3" s="8"/>
      <c r="AH3" s="7"/>
      <c r="AI3" s="7"/>
      <c r="AK3" s="7"/>
      <c r="AL3" s="7"/>
    </row>
    <row r="4" spans="1:38" s="63" customFormat="1" ht="12" x14ac:dyDescent="0.2">
      <c r="C4" s="64"/>
      <c r="D4" s="292"/>
      <c r="E4" s="298"/>
      <c r="F4" s="279"/>
      <c r="G4" s="561"/>
      <c r="H4" s="553"/>
      <c r="J4" s="64"/>
      <c r="K4" s="726" t="s">
        <v>562</v>
      </c>
      <c r="L4" s="727"/>
      <c r="M4" s="727"/>
      <c r="N4" s="727"/>
      <c r="O4" s="727"/>
      <c r="P4" s="727"/>
      <c r="Q4" s="727"/>
      <c r="R4" s="727"/>
      <c r="S4" s="727"/>
      <c r="T4" s="727"/>
      <c r="U4" s="727"/>
      <c r="V4" s="728"/>
      <c r="W4" s="553"/>
      <c r="Y4" s="287"/>
      <c r="Z4" s="287"/>
    </row>
    <row r="5" spans="1:38" s="63" customFormat="1" ht="12" x14ac:dyDescent="0.2">
      <c r="C5" s="65" t="s">
        <v>244</v>
      </c>
      <c r="D5" s="293" t="s">
        <v>291</v>
      </c>
      <c r="E5" s="293" t="s">
        <v>131</v>
      </c>
      <c r="F5" s="280" t="s">
        <v>132</v>
      </c>
      <c r="G5" s="562" t="s">
        <v>133</v>
      </c>
      <c r="H5" s="554" t="s">
        <v>134</v>
      </c>
      <c r="J5" s="562" t="s">
        <v>563</v>
      </c>
      <c r="K5" s="562" t="s">
        <v>156</v>
      </c>
      <c r="L5" s="562" t="s">
        <v>157</v>
      </c>
      <c r="M5" s="562" t="s">
        <v>158</v>
      </c>
      <c r="N5" s="562" t="s">
        <v>159</v>
      </c>
      <c r="O5" s="562" t="s">
        <v>160</v>
      </c>
      <c r="P5" s="562" t="s">
        <v>161</v>
      </c>
      <c r="Q5" s="562" t="s">
        <v>162</v>
      </c>
      <c r="R5" s="562" t="s">
        <v>163</v>
      </c>
      <c r="S5" s="562" t="s">
        <v>164</v>
      </c>
      <c r="T5" s="562" t="s">
        <v>165</v>
      </c>
      <c r="U5" s="562" t="s">
        <v>166</v>
      </c>
      <c r="V5" s="562" t="s">
        <v>167</v>
      </c>
      <c r="W5" s="554" t="s">
        <v>134</v>
      </c>
      <c r="Y5" s="288" t="s">
        <v>251</v>
      </c>
      <c r="Z5" s="288" t="s">
        <v>254</v>
      </c>
    </row>
    <row r="6" spans="1:38" s="63" customFormat="1" ht="12" x14ac:dyDescent="0.2">
      <c r="C6" s="66" t="s">
        <v>9</v>
      </c>
      <c r="D6" s="292"/>
      <c r="E6" s="298"/>
      <c r="F6" s="279"/>
      <c r="G6" s="561"/>
      <c r="H6" s="553"/>
      <c r="J6" s="613"/>
      <c r="K6" s="561"/>
      <c r="L6" s="561"/>
      <c r="M6" s="561"/>
      <c r="N6" s="561"/>
      <c r="O6" s="561"/>
      <c r="P6" s="561"/>
      <c r="Q6" s="561"/>
      <c r="R6" s="561"/>
      <c r="S6" s="561"/>
      <c r="T6" s="561"/>
      <c r="U6" s="561"/>
      <c r="V6" s="561"/>
      <c r="W6" s="553"/>
      <c r="Y6" s="287"/>
      <c r="Z6" s="287"/>
    </row>
    <row r="7" spans="1:38" s="63" customFormat="1" ht="12" outlineLevel="1" x14ac:dyDescent="0.2">
      <c r="C7" s="670">
        <v>6300</v>
      </c>
      <c r="D7" s="292"/>
      <c r="E7" s="298" t="s">
        <v>9</v>
      </c>
      <c r="F7" s="279"/>
      <c r="G7" s="561"/>
      <c r="H7" s="553"/>
      <c r="J7" s="613"/>
      <c r="K7" s="561"/>
      <c r="L7" s="561"/>
      <c r="M7" s="561"/>
      <c r="N7" s="561"/>
      <c r="O7" s="561"/>
      <c r="P7" s="561"/>
      <c r="Q7" s="561"/>
      <c r="R7" s="561"/>
      <c r="S7" s="561"/>
      <c r="T7" s="561"/>
      <c r="U7" s="561"/>
      <c r="V7" s="561"/>
      <c r="W7" s="553"/>
      <c r="Y7" s="287"/>
      <c r="Z7" s="287"/>
    </row>
    <row r="8" spans="1:38" s="63" customFormat="1" ht="12" outlineLevel="1" x14ac:dyDescent="0.2">
      <c r="C8" s="64"/>
      <c r="D8" s="610" t="s">
        <v>288</v>
      </c>
      <c r="E8" s="569" t="s">
        <v>557</v>
      </c>
      <c r="F8" s="570">
        <v>150</v>
      </c>
      <c r="G8" s="672">
        <v>60</v>
      </c>
      <c r="H8" s="616">
        <f>IF(J8="NO", F8*G8,SUM(J8:V8))</f>
        <v>7000</v>
      </c>
      <c r="J8" s="614" t="s">
        <v>569</v>
      </c>
      <c r="K8" s="615">
        <v>0</v>
      </c>
      <c r="L8" s="615">
        <v>1000</v>
      </c>
      <c r="M8" s="615">
        <v>1200</v>
      </c>
      <c r="N8" s="615">
        <v>1200</v>
      </c>
      <c r="O8" s="615">
        <v>1200</v>
      </c>
      <c r="P8" s="615">
        <v>1200</v>
      </c>
      <c r="Q8" s="615">
        <v>1200</v>
      </c>
      <c r="R8" s="615">
        <v>0</v>
      </c>
      <c r="S8" s="615">
        <v>0</v>
      </c>
      <c r="T8" s="615">
        <v>0</v>
      </c>
      <c r="U8" s="615">
        <v>0</v>
      </c>
      <c r="V8" s="615">
        <v>0</v>
      </c>
      <c r="W8" s="616">
        <f t="shared" ref="W8:W9" si="0">SUM(K8:V8)</f>
        <v>7000</v>
      </c>
      <c r="Y8" s="287"/>
      <c r="Z8" s="287"/>
    </row>
    <row r="9" spans="1:38" s="63" customFormat="1" ht="12" outlineLevel="1" x14ac:dyDescent="0.2">
      <c r="C9" s="64"/>
      <c r="D9" s="610" t="s">
        <v>290</v>
      </c>
      <c r="E9" s="569" t="s">
        <v>648</v>
      </c>
      <c r="F9" s="570">
        <v>0</v>
      </c>
      <c r="G9" s="672">
        <v>1000</v>
      </c>
      <c r="H9" s="616">
        <f t="shared" ref="H9:H17" si="1">IF(J9="NO", F9*G9,SUM(J9:V9))</f>
        <v>0</v>
      </c>
      <c r="J9" s="614" t="s">
        <v>569</v>
      </c>
      <c r="K9" s="615">
        <v>0</v>
      </c>
      <c r="L9" s="615">
        <v>0</v>
      </c>
      <c r="M9" s="615">
        <v>0</v>
      </c>
      <c r="N9" s="615">
        <v>0</v>
      </c>
      <c r="O9" s="615">
        <v>0</v>
      </c>
      <c r="P9" s="615">
        <v>0</v>
      </c>
      <c r="Q9" s="615">
        <v>0</v>
      </c>
      <c r="R9" s="615">
        <v>0</v>
      </c>
      <c r="S9" s="615">
        <v>0</v>
      </c>
      <c r="T9" s="615">
        <v>0</v>
      </c>
      <c r="U9" s="615">
        <v>0</v>
      </c>
      <c r="V9" s="615">
        <v>0</v>
      </c>
      <c r="W9" s="616">
        <f t="shared" si="0"/>
        <v>0</v>
      </c>
      <c r="Y9" s="287"/>
      <c r="Z9" s="287"/>
    </row>
    <row r="10" spans="1:38" s="63" customFormat="1" ht="12" outlineLevel="1" x14ac:dyDescent="0.2">
      <c r="C10" s="64"/>
      <c r="D10" s="566" t="s">
        <v>268</v>
      </c>
      <c r="E10" s="567" t="s">
        <v>649</v>
      </c>
      <c r="F10" s="568">
        <v>4</v>
      </c>
      <c r="G10" s="618">
        <v>1000</v>
      </c>
      <c r="H10" s="616">
        <f>IF(J10="NO", F10*G10,SUM(J10:V10))</f>
        <v>12000</v>
      </c>
      <c r="J10" s="617" t="s">
        <v>569</v>
      </c>
      <c r="K10" s="618">
        <v>1000</v>
      </c>
      <c r="L10" s="618">
        <v>1000</v>
      </c>
      <c r="M10" s="618">
        <v>1000</v>
      </c>
      <c r="N10" s="618">
        <v>1000</v>
      </c>
      <c r="O10" s="618">
        <v>1000</v>
      </c>
      <c r="P10" s="618">
        <v>1000</v>
      </c>
      <c r="Q10" s="618">
        <v>1000</v>
      </c>
      <c r="R10" s="618">
        <v>1000</v>
      </c>
      <c r="S10" s="618">
        <v>1000</v>
      </c>
      <c r="T10" s="618">
        <v>1000</v>
      </c>
      <c r="U10" s="618">
        <v>1000</v>
      </c>
      <c r="V10" s="618">
        <v>1000</v>
      </c>
      <c r="W10" s="616">
        <f>SUM(K10:V10)</f>
        <v>12000</v>
      </c>
      <c r="Y10" s="287"/>
      <c r="Z10" s="287"/>
    </row>
    <row r="11" spans="1:38" s="63" customFormat="1" ht="12" outlineLevel="1" x14ac:dyDescent="0.2">
      <c r="C11" s="64"/>
      <c r="D11" s="566" t="s">
        <v>259</v>
      </c>
      <c r="E11" s="567" t="s">
        <v>653</v>
      </c>
      <c r="F11" s="568"/>
      <c r="G11" s="618"/>
      <c r="H11" s="616">
        <f t="shared" si="1"/>
        <v>17565</v>
      </c>
      <c r="J11" s="617" t="s">
        <v>569</v>
      </c>
      <c r="K11" s="618">
        <v>0</v>
      </c>
      <c r="L11" s="618">
        <v>3390</v>
      </c>
      <c r="M11" s="618">
        <v>4695</v>
      </c>
      <c r="N11" s="618">
        <v>5490</v>
      </c>
      <c r="O11" s="618">
        <v>690</v>
      </c>
      <c r="P11" s="618">
        <v>330</v>
      </c>
      <c r="Q11" s="618">
        <v>900</v>
      </c>
      <c r="R11" s="618">
        <v>2070</v>
      </c>
      <c r="S11" s="618">
        <v>0</v>
      </c>
      <c r="T11" s="618">
        <v>0</v>
      </c>
      <c r="U11" s="618">
        <v>0</v>
      </c>
      <c r="V11" s="618">
        <v>0</v>
      </c>
      <c r="W11" s="616">
        <f t="shared" ref="W11" si="2">SUM(K11:V11)</f>
        <v>17565</v>
      </c>
      <c r="Y11" s="287"/>
      <c r="Z11" s="287"/>
    </row>
    <row r="12" spans="1:38" s="63" customFormat="1" ht="12" outlineLevel="1" x14ac:dyDescent="0.2">
      <c r="C12" s="64"/>
      <c r="D12" s="566" t="s">
        <v>268</v>
      </c>
      <c r="E12" s="567" t="s">
        <v>652</v>
      </c>
      <c r="F12" s="568">
        <v>75</v>
      </c>
      <c r="G12" s="618">
        <v>30</v>
      </c>
      <c r="H12" s="616">
        <f t="shared" ref="H12:H13" si="3">IF(J12="NO", F12*G12,SUM(J12:V12))</f>
        <v>2250</v>
      </c>
      <c r="J12" s="617" t="s">
        <v>564</v>
      </c>
      <c r="K12" s="618">
        <v>0</v>
      </c>
      <c r="L12" s="618">
        <v>750</v>
      </c>
      <c r="M12" s="618">
        <v>0</v>
      </c>
      <c r="N12" s="618">
        <v>0</v>
      </c>
      <c r="O12" s="618">
        <v>750</v>
      </c>
      <c r="P12" s="618">
        <v>0</v>
      </c>
      <c r="Q12" s="618">
        <v>0</v>
      </c>
      <c r="R12" s="618">
        <v>0</v>
      </c>
      <c r="S12" s="618">
        <v>0</v>
      </c>
      <c r="T12" s="618">
        <v>750</v>
      </c>
      <c r="U12" s="618">
        <v>0</v>
      </c>
      <c r="V12" s="618">
        <v>0</v>
      </c>
      <c r="W12" s="616">
        <f t="shared" ref="W12" si="4">SUM(K12:V12)</f>
        <v>2250</v>
      </c>
      <c r="Y12" s="287"/>
      <c r="Z12" s="287"/>
    </row>
    <row r="13" spans="1:38" s="63" customFormat="1" ht="12" outlineLevel="1" x14ac:dyDescent="0.2">
      <c r="C13" s="64"/>
      <c r="D13" s="680" t="s">
        <v>268</v>
      </c>
      <c r="E13" s="681" t="s">
        <v>651</v>
      </c>
      <c r="F13" s="568">
        <v>150</v>
      </c>
      <c r="G13" s="618">
        <v>15</v>
      </c>
      <c r="H13" s="616">
        <f t="shared" si="3"/>
        <v>0</v>
      </c>
      <c r="J13" s="617" t="s">
        <v>569</v>
      </c>
      <c r="K13" s="618">
        <v>0</v>
      </c>
      <c r="L13" s="618">
        <v>0</v>
      </c>
      <c r="M13" s="618">
        <v>0</v>
      </c>
      <c r="N13" s="618">
        <v>0</v>
      </c>
      <c r="O13" s="618">
        <v>0</v>
      </c>
      <c r="P13" s="618">
        <v>0</v>
      </c>
      <c r="Q13" s="618">
        <v>0</v>
      </c>
      <c r="R13" s="618">
        <v>0</v>
      </c>
      <c r="S13" s="618">
        <v>0</v>
      </c>
      <c r="T13" s="618">
        <v>0</v>
      </c>
      <c r="U13" s="618">
        <v>0</v>
      </c>
      <c r="V13" s="618">
        <v>0</v>
      </c>
      <c r="W13" s="616">
        <f t="shared" ref="W13" si="5">SUM(K13:V13)</f>
        <v>0</v>
      </c>
      <c r="Y13" s="287"/>
      <c r="Z13" s="287"/>
    </row>
    <row r="14" spans="1:38" s="63" customFormat="1" ht="12" outlineLevel="1" x14ac:dyDescent="0.2">
      <c r="C14" s="64"/>
      <c r="D14" s="566" t="s">
        <v>268</v>
      </c>
      <c r="E14" s="567" t="s">
        <v>791</v>
      </c>
      <c r="F14" s="568">
        <v>30</v>
      </c>
      <c r="G14" s="618">
        <v>250</v>
      </c>
      <c r="H14" s="616">
        <f t="shared" si="1"/>
        <v>6000</v>
      </c>
      <c r="J14" s="617" t="s">
        <v>569</v>
      </c>
      <c r="K14" s="618">
        <v>1500</v>
      </c>
      <c r="L14" s="618">
        <v>750</v>
      </c>
      <c r="M14" s="618">
        <v>500</v>
      </c>
      <c r="N14" s="618">
        <v>0</v>
      </c>
      <c r="O14" s="618">
        <v>250</v>
      </c>
      <c r="P14" s="618">
        <v>500</v>
      </c>
      <c r="Q14" s="618">
        <v>750</v>
      </c>
      <c r="R14" s="618">
        <v>0</v>
      </c>
      <c r="S14" s="618">
        <v>250</v>
      </c>
      <c r="T14" s="618">
        <v>250</v>
      </c>
      <c r="U14" s="618">
        <v>500</v>
      </c>
      <c r="V14" s="618">
        <v>750</v>
      </c>
      <c r="W14" s="616">
        <f t="shared" ref="W14:W17" si="6">SUM(K14:V14)</f>
        <v>6000</v>
      </c>
      <c r="Y14" s="287"/>
      <c r="Z14" s="287"/>
    </row>
    <row r="15" spans="1:38" s="63" customFormat="1" ht="12" outlineLevel="1" x14ac:dyDescent="0.2">
      <c r="C15" s="64"/>
      <c r="D15" s="566" t="s">
        <v>268</v>
      </c>
      <c r="E15" s="567" t="s">
        <v>650</v>
      </c>
      <c r="F15" s="568">
        <v>20</v>
      </c>
      <c r="G15" s="618">
        <v>300</v>
      </c>
      <c r="H15" s="616">
        <f>IF(J15="NO", F15*G15,SUM(J15:V15))</f>
        <v>6000</v>
      </c>
      <c r="J15" s="617" t="s">
        <v>564</v>
      </c>
      <c r="K15" s="618">
        <v>500</v>
      </c>
      <c r="L15" s="618">
        <v>500</v>
      </c>
      <c r="M15" s="618">
        <v>500</v>
      </c>
      <c r="N15" s="618">
        <v>500</v>
      </c>
      <c r="O15" s="618">
        <v>500</v>
      </c>
      <c r="P15" s="618">
        <v>500</v>
      </c>
      <c r="Q15" s="618">
        <v>500</v>
      </c>
      <c r="R15" s="618">
        <v>500</v>
      </c>
      <c r="S15" s="618">
        <v>500</v>
      </c>
      <c r="T15" s="618">
        <v>500</v>
      </c>
      <c r="U15" s="618">
        <v>500</v>
      </c>
      <c r="V15" s="618">
        <v>500</v>
      </c>
      <c r="W15" s="616">
        <f>SUM(K15:V15)</f>
        <v>6000</v>
      </c>
      <c r="Y15" s="287"/>
      <c r="Z15" s="287"/>
    </row>
    <row r="16" spans="1:38" s="63" customFormat="1" ht="12" outlineLevel="1" x14ac:dyDescent="0.2">
      <c r="C16" s="64"/>
      <c r="D16" s="566" t="s">
        <v>268</v>
      </c>
      <c r="E16" s="567" t="s">
        <v>613</v>
      </c>
      <c r="F16" s="568">
        <v>0</v>
      </c>
      <c r="G16" s="618">
        <v>0</v>
      </c>
      <c r="H16" s="616">
        <f t="shared" si="1"/>
        <v>1800</v>
      </c>
      <c r="J16" s="617" t="s">
        <v>569</v>
      </c>
      <c r="K16" s="618">
        <v>0</v>
      </c>
      <c r="L16" s="618">
        <v>200</v>
      </c>
      <c r="M16" s="618">
        <v>200</v>
      </c>
      <c r="N16" s="618">
        <v>200</v>
      </c>
      <c r="O16" s="618">
        <v>200</v>
      </c>
      <c r="P16" s="618">
        <v>200</v>
      </c>
      <c r="Q16" s="618">
        <v>200</v>
      </c>
      <c r="R16" s="618">
        <v>200</v>
      </c>
      <c r="S16" s="618">
        <v>200</v>
      </c>
      <c r="T16" s="618">
        <v>200</v>
      </c>
      <c r="U16" s="618">
        <v>0</v>
      </c>
      <c r="V16" s="618">
        <v>0</v>
      </c>
      <c r="W16" s="616">
        <f t="shared" si="6"/>
        <v>1800</v>
      </c>
      <c r="Y16" s="287"/>
      <c r="Z16" s="287"/>
    </row>
    <row r="17" spans="3:26" s="63" customFormat="1" ht="12" outlineLevel="1" x14ac:dyDescent="0.2">
      <c r="C17" s="64"/>
      <c r="D17" s="651"/>
      <c r="E17" s="652"/>
      <c r="F17" s="595">
        <v>0</v>
      </c>
      <c r="G17" s="540">
        <v>0</v>
      </c>
      <c r="H17" s="616">
        <f t="shared" si="1"/>
        <v>0</v>
      </c>
      <c r="I17" s="653"/>
      <c r="J17" s="626"/>
      <c r="K17" s="627">
        <v>0</v>
      </c>
      <c r="L17" s="627">
        <v>0</v>
      </c>
      <c r="M17" s="627">
        <v>0</v>
      </c>
      <c r="N17" s="627">
        <v>0</v>
      </c>
      <c r="O17" s="627">
        <v>0</v>
      </c>
      <c r="P17" s="627">
        <v>0</v>
      </c>
      <c r="Q17" s="627">
        <v>0</v>
      </c>
      <c r="R17" s="627">
        <v>0</v>
      </c>
      <c r="S17" s="627">
        <v>0</v>
      </c>
      <c r="T17" s="627">
        <v>0</v>
      </c>
      <c r="U17" s="627">
        <v>0</v>
      </c>
      <c r="V17" s="627">
        <v>0</v>
      </c>
      <c r="W17" s="628">
        <f t="shared" si="6"/>
        <v>0</v>
      </c>
      <c r="Y17" s="287"/>
      <c r="Z17" s="287"/>
    </row>
    <row r="18" spans="3:26" s="63" customFormat="1" ht="3.6" customHeight="1" outlineLevel="1" thickBot="1" x14ac:dyDescent="0.25">
      <c r="C18" s="64"/>
      <c r="D18" s="294"/>
      <c r="E18" s="299"/>
      <c r="F18" s="281"/>
      <c r="G18" s="563"/>
      <c r="H18" s="556"/>
      <c r="J18" s="619"/>
      <c r="K18" s="563"/>
      <c r="L18" s="563"/>
      <c r="M18" s="563"/>
      <c r="N18" s="563"/>
      <c r="O18" s="563"/>
      <c r="P18" s="563"/>
      <c r="Q18" s="563"/>
      <c r="R18" s="563"/>
      <c r="S18" s="563"/>
      <c r="T18" s="563"/>
      <c r="U18" s="563"/>
      <c r="V18" s="563"/>
      <c r="W18" s="620"/>
      <c r="Y18" s="287"/>
      <c r="Z18" s="287"/>
    </row>
    <row r="19" spans="3:26" s="63" customFormat="1" ht="12.75" thickBot="1" x14ac:dyDescent="0.25">
      <c r="C19" s="64"/>
      <c r="D19" s="292"/>
      <c r="E19" s="298"/>
      <c r="F19" s="282" t="str">
        <f>E7</f>
        <v>Purchased Professional and Technical Services</v>
      </c>
      <c r="G19" s="564">
        <f>C7</f>
        <v>6300</v>
      </c>
      <c r="H19" s="623">
        <f>SUBTOTAL(9,H8:H18)</f>
        <v>52615</v>
      </c>
      <c r="J19" s="621"/>
      <c r="K19" s="622">
        <f t="shared" ref="K19:W19" si="7">SUBTOTAL(9,K8:K18)</f>
        <v>3000</v>
      </c>
      <c r="L19" s="622">
        <f t="shared" si="7"/>
        <v>7590</v>
      </c>
      <c r="M19" s="622">
        <f t="shared" si="7"/>
        <v>8095</v>
      </c>
      <c r="N19" s="622">
        <f t="shared" si="7"/>
        <v>8390</v>
      </c>
      <c r="O19" s="622">
        <f t="shared" si="7"/>
        <v>4590</v>
      </c>
      <c r="P19" s="622">
        <f t="shared" si="7"/>
        <v>3730</v>
      </c>
      <c r="Q19" s="622">
        <f t="shared" si="7"/>
        <v>4550</v>
      </c>
      <c r="R19" s="622">
        <f t="shared" si="7"/>
        <v>3770</v>
      </c>
      <c r="S19" s="622">
        <f t="shared" si="7"/>
        <v>1950</v>
      </c>
      <c r="T19" s="622">
        <f t="shared" si="7"/>
        <v>2700</v>
      </c>
      <c r="U19" s="622">
        <f t="shared" si="7"/>
        <v>2000</v>
      </c>
      <c r="V19" s="622">
        <f t="shared" si="7"/>
        <v>2250</v>
      </c>
      <c r="W19" s="623">
        <f t="shared" si="7"/>
        <v>52615</v>
      </c>
      <c r="X19" s="63" t="str">
        <f>IF(H19=W19,"OK","Error")</f>
        <v>OK</v>
      </c>
      <c r="Y19" s="287">
        <v>0</v>
      </c>
      <c r="Z19" s="287">
        <f>H19-Y19</f>
        <v>52615</v>
      </c>
    </row>
    <row r="20" spans="3:26" s="63" customFormat="1" ht="12" outlineLevel="1" x14ac:dyDescent="0.2">
      <c r="C20" s="64"/>
      <c r="D20" s="292"/>
      <c r="E20" s="298"/>
      <c r="F20" s="279"/>
      <c r="G20" s="561"/>
      <c r="H20" s="553"/>
      <c r="J20" s="613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53"/>
      <c r="Y20" s="287"/>
      <c r="Z20" s="287"/>
    </row>
    <row r="21" spans="3:26" s="63" customFormat="1" ht="12" outlineLevel="1" x14ac:dyDescent="0.2">
      <c r="C21" s="670">
        <v>6320</v>
      </c>
      <c r="D21" s="292"/>
      <c r="E21" s="298" t="s">
        <v>10</v>
      </c>
      <c r="F21" s="279"/>
      <c r="G21" s="561"/>
      <c r="H21" s="553"/>
      <c r="J21" s="613"/>
      <c r="K21" s="561"/>
      <c r="L21" s="561"/>
      <c r="M21" s="561"/>
      <c r="N21" s="561"/>
      <c r="O21" s="561"/>
      <c r="P21" s="561"/>
      <c r="Q21" s="561"/>
      <c r="R21" s="561"/>
      <c r="S21" s="561"/>
      <c r="T21" s="561"/>
      <c r="U21" s="561"/>
      <c r="V21" s="561"/>
      <c r="W21" s="553"/>
      <c r="Y21" s="287"/>
      <c r="Z21" s="287"/>
    </row>
    <row r="22" spans="3:26" s="63" customFormat="1" ht="12" outlineLevel="1" x14ac:dyDescent="0.2">
      <c r="C22" s="64"/>
      <c r="D22" s="610" t="s">
        <v>570</v>
      </c>
      <c r="E22" s="569" t="s">
        <v>622</v>
      </c>
      <c r="F22" s="570">
        <v>0</v>
      </c>
      <c r="G22" s="672">
        <v>60</v>
      </c>
      <c r="H22" s="616">
        <f t="shared" ref="H22:H23" si="8">IF(J22="NO", F22*G22,SUM(J22:V22))</f>
        <v>0</v>
      </c>
      <c r="J22" s="614" t="s">
        <v>564</v>
      </c>
      <c r="K22" s="615">
        <v>0</v>
      </c>
      <c r="L22" s="615">
        <v>0</v>
      </c>
      <c r="M22" s="615">
        <v>0</v>
      </c>
      <c r="N22" s="615">
        <v>0</v>
      </c>
      <c r="O22" s="615">
        <v>0</v>
      </c>
      <c r="P22" s="615">
        <v>0</v>
      </c>
      <c r="Q22" s="615">
        <v>0</v>
      </c>
      <c r="R22" s="615">
        <v>0</v>
      </c>
      <c r="S22" s="615">
        <v>0</v>
      </c>
      <c r="T22" s="615">
        <v>0</v>
      </c>
      <c r="U22" s="615">
        <v>0</v>
      </c>
      <c r="V22" s="615">
        <v>0</v>
      </c>
      <c r="W22" s="616">
        <f t="shared" ref="W22:W26" si="9">SUM(K22:V22)</f>
        <v>0</v>
      </c>
      <c r="Y22" s="287"/>
      <c r="Z22" s="287"/>
    </row>
    <row r="23" spans="3:26" s="63" customFormat="1" ht="12" outlineLevel="1" x14ac:dyDescent="0.2">
      <c r="C23" s="64"/>
      <c r="D23" s="610" t="s">
        <v>570</v>
      </c>
      <c r="E23" s="569" t="s">
        <v>621</v>
      </c>
      <c r="F23" s="570">
        <v>0</v>
      </c>
      <c r="G23" s="672">
        <v>1250</v>
      </c>
      <c r="H23" s="616">
        <f t="shared" si="8"/>
        <v>0</v>
      </c>
      <c r="J23" s="614" t="s">
        <v>564</v>
      </c>
      <c r="K23" s="615">
        <v>0</v>
      </c>
      <c r="L23" s="615">
        <v>0</v>
      </c>
      <c r="M23" s="615">
        <v>0</v>
      </c>
      <c r="N23" s="615">
        <v>0</v>
      </c>
      <c r="O23" s="615">
        <v>0</v>
      </c>
      <c r="P23" s="615">
        <v>0</v>
      </c>
      <c r="Q23" s="615">
        <v>0</v>
      </c>
      <c r="R23" s="615">
        <v>0</v>
      </c>
      <c r="S23" s="615">
        <v>0</v>
      </c>
      <c r="T23" s="615">
        <v>0</v>
      </c>
      <c r="U23" s="615">
        <v>0</v>
      </c>
      <c r="V23" s="615">
        <v>0</v>
      </c>
      <c r="W23" s="616">
        <f t="shared" ref="W23" si="10">SUM(K23:V23)</f>
        <v>0</v>
      </c>
      <c r="Y23" s="287"/>
      <c r="Z23" s="287"/>
    </row>
    <row r="24" spans="3:26" s="63" customFormat="1" ht="12" outlineLevel="1" x14ac:dyDescent="0.2">
      <c r="C24" s="64"/>
      <c r="D24" s="566" t="s">
        <v>261</v>
      </c>
      <c r="E24" s="567" t="s">
        <v>647</v>
      </c>
      <c r="F24" s="568">
        <v>4</v>
      </c>
      <c r="G24" s="618">
        <v>12000</v>
      </c>
      <c r="H24" s="616">
        <f t="shared" ref="H24" si="11">IF(J24="NO", F24*G24,SUM(J24:V24))</f>
        <v>48000</v>
      </c>
      <c r="J24" s="617" t="s">
        <v>569</v>
      </c>
      <c r="K24" s="618">
        <v>0</v>
      </c>
      <c r="L24" s="618">
        <v>0</v>
      </c>
      <c r="M24" s="618">
        <v>12000</v>
      </c>
      <c r="N24" s="618">
        <v>0</v>
      </c>
      <c r="O24" s="618">
        <v>0</v>
      </c>
      <c r="P24" s="618">
        <v>0</v>
      </c>
      <c r="Q24" s="618">
        <v>12000</v>
      </c>
      <c r="R24" s="618">
        <v>0</v>
      </c>
      <c r="S24" s="618">
        <v>0</v>
      </c>
      <c r="T24" s="618">
        <v>12000</v>
      </c>
      <c r="U24" s="618">
        <v>0</v>
      </c>
      <c r="V24" s="618">
        <v>12000</v>
      </c>
      <c r="W24" s="616">
        <f t="shared" ref="W24" si="12">SUM(K24:V24)</f>
        <v>48000</v>
      </c>
      <c r="Y24" s="287"/>
      <c r="Z24" s="287"/>
    </row>
    <row r="25" spans="3:26" s="63" customFormat="1" ht="12" outlineLevel="1" x14ac:dyDescent="0.2">
      <c r="C25" s="64"/>
      <c r="D25" s="566" t="s">
        <v>262</v>
      </c>
      <c r="E25" s="567" t="s">
        <v>645</v>
      </c>
      <c r="F25" s="568">
        <v>1000</v>
      </c>
      <c r="G25" s="674">
        <v>1.5</v>
      </c>
      <c r="H25" s="616">
        <f t="shared" ref="H25:H26" si="13">IF(J25="NO", F25*G25,SUM(J25:V25))</f>
        <v>1500</v>
      </c>
      <c r="J25" s="617" t="s">
        <v>569</v>
      </c>
      <c r="K25" s="618">
        <v>0</v>
      </c>
      <c r="L25" s="618">
        <v>0</v>
      </c>
      <c r="M25" s="618">
        <v>1200</v>
      </c>
      <c r="N25" s="618">
        <v>0</v>
      </c>
      <c r="O25" s="618">
        <v>0</v>
      </c>
      <c r="P25" s="618">
        <v>0</v>
      </c>
      <c r="Q25" s="618">
        <v>0</v>
      </c>
      <c r="R25" s="618">
        <v>300</v>
      </c>
      <c r="S25" s="618">
        <v>0</v>
      </c>
      <c r="T25" s="618">
        <v>0</v>
      </c>
      <c r="U25" s="618">
        <v>0</v>
      </c>
      <c r="V25" s="618">
        <v>0</v>
      </c>
      <c r="W25" s="616">
        <f t="shared" si="9"/>
        <v>1500</v>
      </c>
      <c r="Y25" s="287"/>
      <c r="Z25" s="287"/>
    </row>
    <row r="26" spans="3:26" s="63" customFormat="1" ht="12" outlineLevel="1" x14ac:dyDescent="0.2">
      <c r="C26" s="64"/>
      <c r="D26" s="566" t="s">
        <v>262</v>
      </c>
      <c r="E26" s="567" t="s">
        <v>646</v>
      </c>
      <c r="F26" s="678">
        <v>1.5</v>
      </c>
      <c r="G26" s="618">
        <v>250</v>
      </c>
      <c r="H26" s="616">
        <f t="shared" si="13"/>
        <v>375</v>
      </c>
      <c r="J26" s="617" t="s">
        <v>569</v>
      </c>
      <c r="K26" s="618">
        <v>0</v>
      </c>
      <c r="L26" s="618">
        <v>0</v>
      </c>
      <c r="M26" s="618">
        <v>0</v>
      </c>
      <c r="N26" s="618">
        <v>250</v>
      </c>
      <c r="O26" s="618">
        <v>0</v>
      </c>
      <c r="P26" s="618">
        <v>0</v>
      </c>
      <c r="Q26" s="618">
        <v>0</v>
      </c>
      <c r="R26" s="618">
        <v>0</v>
      </c>
      <c r="S26" s="618">
        <v>125</v>
      </c>
      <c r="T26" s="618">
        <v>0</v>
      </c>
      <c r="U26" s="618">
        <v>0</v>
      </c>
      <c r="V26" s="618">
        <v>0</v>
      </c>
      <c r="W26" s="616">
        <f t="shared" si="9"/>
        <v>375</v>
      </c>
      <c r="Y26" s="287"/>
      <c r="Z26" s="287"/>
    </row>
    <row r="27" spans="3:26" s="63" customFormat="1" ht="3.6" customHeight="1" outlineLevel="1" thickBot="1" x14ac:dyDescent="0.25">
      <c r="C27" s="64"/>
      <c r="D27" s="294"/>
      <c r="E27" s="299"/>
      <c r="F27" s="281"/>
      <c r="G27" s="563"/>
      <c r="H27" s="556"/>
      <c r="J27" s="619"/>
      <c r="K27" s="563"/>
      <c r="L27" s="563"/>
      <c r="M27" s="563"/>
      <c r="N27" s="563"/>
      <c r="O27" s="563"/>
      <c r="P27" s="563"/>
      <c r="Q27" s="563"/>
      <c r="R27" s="563"/>
      <c r="S27" s="563"/>
      <c r="T27" s="563"/>
      <c r="U27" s="563"/>
      <c r="V27" s="563"/>
      <c r="W27" s="556"/>
      <c r="Y27" s="287"/>
      <c r="Z27" s="287"/>
    </row>
    <row r="28" spans="3:26" s="63" customFormat="1" ht="12.75" thickBot="1" x14ac:dyDescent="0.25">
      <c r="C28" s="64"/>
      <c r="D28" s="292"/>
      <c r="E28" s="298"/>
      <c r="F28" s="282" t="str">
        <f>E21</f>
        <v>Professional Educational Services</v>
      </c>
      <c r="G28" s="564">
        <f>C21</f>
        <v>6320</v>
      </c>
      <c r="H28" s="623">
        <f>SUBTOTAL(9,H22:H27)</f>
        <v>49875</v>
      </c>
      <c r="J28" s="624"/>
      <c r="K28" s="622">
        <f t="shared" ref="K28:W28" si="14">SUBTOTAL(9,K22:K27)</f>
        <v>0</v>
      </c>
      <c r="L28" s="622">
        <f t="shared" si="14"/>
        <v>0</v>
      </c>
      <c r="M28" s="622">
        <f t="shared" si="14"/>
        <v>13200</v>
      </c>
      <c r="N28" s="622">
        <f t="shared" si="14"/>
        <v>250</v>
      </c>
      <c r="O28" s="622">
        <f t="shared" si="14"/>
        <v>0</v>
      </c>
      <c r="P28" s="622">
        <f t="shared" si="14"/>
        <v>0</v>
      </c>
      <c r="Q28" s="622">
        <f t="shared" si="14"/>
        <v>12000</v>
      </c>
      <c r="R28" s="622">
        <f t="shared" si="14"/>
        <v>300</v>
      </c>
      <c r="S28" s="622">
        <f t="shared" si="14"/>
        <v>125</v>
      </c>
      <c r="T28" s="622">
        <f t="shared" si="14"/>
        <v>12000</v>
      </c>
      <c r="U28" s="622">
        <f t="shared" si="14"/>
        <v>0</v>
      </c>
      <c r="V28" s="622">
        <f t="shared" si="14"/>
        <v>12000</v>
      </c>
      <c r="W28" s="557">
        <f t="shared" si="14"/>
        <v>49875</v>
      </c>
      <c r="X28" s="63" t="str">
        <f>IF(H28=W28,"OK","Error")</f>
        <v>OK</v>
      </c>
      <c r="Y28" s="287">
        <v>0</v>
      </c>
      <c r="Z28" s="287">
        <f>H28-Y28</f>
        <v>49875</v>
      </c>
    </row>
    <row r="29" spans="3:26" s="63" customFormat="1" ht="12" outlineLevel="1" x14ac:dyDescent="0.2">
      <c r="C29" s="64"/>
      <c r="D29" s="292"/>
      <c r="E29" s="298"/>
      <c r="F29" s="279"/>
      <c r="G29" s="561"/>
      <c r="H29" s="553"/>
      <c r="J29" s="613"/>
      <c r="K29" s="561"/>
      <c r="L29" s="561"/>
      <c r="M29" s="561"/>
      <c r="N29" s="561"/>
      <c r="O29" s="561"/>
      <c r="P29" s="561"/>
      <c r="Q29" s="561"/>
      <c r="R29" s="561"/>
      <c r="S29" s="561"/>
      <c r="T29" s="561"/>
      <c r="U29" s="561"/>
      <c r="V29" s="561"/>
      <c r="W29" s="553"/>
      <c r="Y29" s="287"/>
      <c r="Z29" s="287"/>
    </row>
    <row r="30" spans="3:26" s="63" customFormat="1" ht="12" outlineLevel="1" x14ac:dyDescent="0.2">
      <c r="C30" s="670">
        <v>6331</v>
      </c>
      <c r="D30" s="292"/>
      <c r="E30" s="298" t="s">
        <v>11</v>
      </c>
      <c r="F30" s="279"/>
      <c r="G30" s="561"/>
      <c r="H30" s="553"/>
      <c r="J30" s="613"/>
      <c r="K30" s="561"/>
      <c r="L30" s="561"/>
      <c r="M30" s="561"/>
      <c r="N30" s="561"/>
      <c r="O30" s="561"/>
      <c r="P30" s="561"/>
      <c r="Q30" s="561"/>
      <c r="R30" s="561"/>
      <c r="S30" s="561"/>
      <c r="T30" s="561"/>
      <c r="U30" s="561"/>
      <c r="V30" s="561"/>
      <c r="W30" s="553"/>
      <c r="Y30" s="287"/>
      <c r="Z30" s="287"/>
    </row>
    <row r="31" spans="3:26" s="63" customFormat="1" ht="12" outlineLevel="1" x14ac:dyDescent="0.2">
      <c r="C31" s="64"/>
      <c r="D31" s="610" t="s">
        <v>288</v>
      </c>
      <c r="E31" s="569" t="s">
        <v>644</v>
      </c>
      <c r="F31" s="570">
        <v>10</v>
      </c>
      <c r="G31" s="672">
        <v>200</v>
      </c>
      <c r="H31" s="616">
        <f t="shared" ref="H31" si="15">IF(J31="NO", F31*G31,SUM(J31:V31))</f>
        <v>2000</v>
      </c>
      <c r="J31" s="614" t="s">
        <v>564</v>
      </c>
      <c r="K31" s="615"/>
      <c r="L31" s="615">
        <f t="shared" ref="L31" si="16">H31</f>
        <v>2000</v>
      </c>
      <c r="M31" s="615"/>
      <c r="N31" s="615"/>
      <c r="O31" s="615"/>
      <c r="P31" s="615"/>
      <c r="Q31" s="615"/>
      <c r="R31" s="615"/>
      <c r="S31" s="615"/>
      <c r="T31" s="615"/>
      <c r="U31" s="615"/>
      <c r="V31" s="615"/>
      <c r="W31" s="616">
        <f t="shared" ref="W31" si="17">SUM(K31:V31)</f>
        <v>2000</v>
      </c>
      <c r="Y31" s="287"/>
      <c r="Z31" s="287"/>
    </row>
    <row r="32" spans="3:26" s="63" customFormat="1" ht="12" outlineLevel="1" x14ac:dyDescent="0.2">
      <c r="C32" s="64"/>
      <c r="D32" s="566"/>
      <c r="E32" s="567" t="s">
        <v>501</v>
      </c>
      <c r="F32" s="568">
        <v>0</v>
      </c>
      <c r="G32" s="618">
        <v>0</v>
      </c>
      <c r="H32" s="616">
        <f>IF(J32="NO", F32*G32,SUM(J32:V32))</f>
        <v>0</v>
      </c>
      <c r="J32" s="617" t="s">
        <v>569</v>
      </c>
      <c r="K32" s="618">
        <v>0</v>
      </c>
      <c r="L32" s="618">
        <v>0</v>
      </c>
      <c r="M32" s="618">
        <v>0</v>
      </c>
      <c r="N32" s="618">
        <v>0</v>
      </c>
      <c r="O32" s="618">
        <v>0</v>
      </c>
      <c r="P32" s="618">
        <v>0</v>
      </c>
      <c r="Q32" s="618">
        <v>0</v>
      </c>
      <c r="R32" s="618">
        <v>0</v>
      </c>
      <c r="S32" s="618">
        <v>0</v>
      </c>
      <c r="T32" s="618">
        <v>0</v>
      </c>
      <c r="U32" s="618">
        <v>0</v>
      </c>
      <c r="V32" s="618">
        <v>0</v>
      </c>
      <c r="W32" s="616">
        <f>SUM(K32:V32)</f>
        <v>0</v>
      </c>
      <c r="Y32" s="287"/>
      <c r="Z32" s="287"/>
    </row>
    <row r="33" spans="3:26" s="63" customFormat="1" ht="3.6" customHeight="1" outlineLevel="1" thickBot="1" x14ac:dyDescent="0.25">
      <c r="C33" s="64"/>
      <c r="D33" s="294"/>
      <c r="E33" s="299"/>
      <c r="F33" s="281"/>
      <c r="G33" s="563"/>
      <c r="H33" s="556"/>
      <c r="J33" s="294"/>
      <c r="K33" s="294"/>
      <c r="L33" s="294"/>
      <c r="M33" s="294"/>
      <c r="N33" s="294"/>
      <c r="O33" s="294"/>
      <c r="P33" s="294"/>
      <c r="Q33" s="294"/>
      <c r="R33" s="294"/>
      <c r="S33" s="294"/>
      <c r="T33" s="294"/>
      <c r="U33" s="294"/>
      <c r="V33" s="294"/>
      <c r="W33" s="294"/>
      <c r="Y33" s="287"/>
      <c r="Z33" s="287"/>
    </row>
    <row r="34" spans="3:26" s="63" customFormat="1" ht="12.75" thickBot="1" x14ac:dyDescent="0.25">
      <c r="C34" s="64"/>
      <c r="D34" s="292"/>
      <c r="E34" s="298"/>
      <c r="F34" s="282" t="str">
        <f>E30</f>
        <v>Prof-Dev/Instructional Lic. Personnel</v>
      </c>
      <c r="G34" s="564">
        <f>C30</f>
        <v>6331</v>
      </c>
      <c r="H34" s="623">
        <f>SUBTOTAL(9,H31:H33)</f>
        <v>2000</v>
      </c>
      <c r="J34" s="624"/>
      <c r="K34" s="622">
        <f t="shared" ref="K34:W34" si="18">SUBTOTAL(9,K31:K33)</f>
        <v>0</v>
      </c>
      <c r="L34" s="622">
        <f t="shared" si="18"/>
        <v>2000</v>
      </c>
      <c r="M34" s="622">
        <f t="shared" si="18"/>
        <v>0</v>
      </c>
      <c r="N34" s="622">
        <f t="shared" si="18"/>
        <v>0</v>
      </c>
      <c r="O34" s="622">
        <f t="shared" si="18"/>
        <v>0</v>
      </c>
      <c r="P34" s="622">
        <f t="shared" si="18"/>
        <v>0</v>
      </c>
      <c r="Q34" s="622">
        <f t="shared" si="18"/>
        <v>0</v>
      </c>
      <c r="R34" s="622">
        <f t="shared" si="18"/>
        <v>0</v>
      </c>
      <c r="S34" s="622">
        <f t="shared" si="18"/>
        <v>0</v>
      </c>
      <c r="T34" s="622">
        <f t="shared" si="18"/>
        <v>0</v>
      </c>
      <c r="U34" s="622">
        <f t="shared" si="18"/>
        <v>0</v>
      </c>
      <c r="V34" s="622">
        <f t="shared" si="18"/>
        <v>0</v>
      </c>
      <c r="W34" s="623">
        <f t="shared" si="18"/>
        <v>2000</v>
      </c>
      <c r="X34" s="63" t="str">
        <f>IF(H34=W34,"OK","Error")</f>
        <v>OK</v>
      </c>
      <c r="Y34" s="287">
        <v>0</v>
      </c>
      <c r="Z34" s="287">
        <f>H34-Y34</f>
        <v>2000</v>
      </c>
    </row>
    <row r="35" spans="3:26" s="63" customFormat="1" ht="12" outlineLevel="1" x14ac:dyDescent="0.2">
      <c r="C35" s="64"/>
      <c r="D35" s="292"/>
      <c r="E35" s="298"/>
      <c r="F35" s="279"/>
      <c r="G35" s="561"/>
      <c r="H35" s="553"/>
      <c r="J35" s="613"/>
      <c r="K35" s="561"/>
      <c r="L35" s="561"/>
      <c r="M35" s="561"/>
      <c r="N35" s="561"/>
      <c r="O35" s="561"/>
      <c r="P35" s="561"/>
      <c r="Q35" s="561"/>
      <c r="R35" s="561"/>
      <c r="S35" s="561"/>
      <c r="T35" s="561"/>
      <c r="U35" s="561"/>
      <c r="V35" s="561"/>
      <c r="W35" s="553"/>
      <c r="Y35" s="287"/>
      <c r="Z35" s="287"/>
    </row>
    <row r="36" spans="3:26" s="63" customFormat="1" ht="12" outlineLevel="1" x14ac:dyDescent="0.2">
      <c r="C36" s="670">
        <v>6334</v>
      </c>
      <c r="D36" s="292"/>
      <c r="E36" s="298" t="s">
        <v>12</v>
      </c>
      <c r="F36" s="279"/>
      <c r="G36" s="561"/>
      <c r="H36" s="553"/>
      <c r="J36" s="613"/>
      <c r="K36" s="561"/>
      <c r="L36" s="561"/>
      <c r="M36" s="561"/>
      <c r="N36" s="561"/>
      <c r="O36" s="561"/>
      <c r="P36" s="561"/>
      <c r="Q36" s="561"/>
      <c r="R36" s="561"/>
      <c r="S36" s="561"/>
      <c r="T36" s="561"/>
      <c r="U36" s="561"/>
      <c r="V36" s="561"/>
      <c r="W36" s="553"/>
      <c r="Y36" s="287"/>
      <c r="Z36" s="287"/>
    </row>
    <row r="37" spans="3:26" s="63" customFormat="1" ht="12" outlineLevel="1" x14ac:dyDescent="0.2">
      <c r="C37" s="64"/>
      <c r="D37" s="610" t="s">
        <v>289</v>
      </c>
      <c r="E37" s="569" t="s">
        <v>641</v>
      </c>
      <c r="F37" s="570">
        <v>1</v>
      </c>
      <c r="G37" s="672">
        <v>400</v>
      </c>
      <c r="H37" s="616">
        <f t="shared" ref="H37:H53" si="19">IF(J37="NO", F37*G37,SUM(J37:V37))</f>
        <v>400</v>
      </c>
      <c r="J37" s="614" t="s">
        <v>564</v>
      </c>
      <c r="K37" s="615"/>
      <c r="L37" s="615"/>
      <c r="M37" s="615">
        <f>H37</f>
        <v>400</v>
      </c>
      <c r="N37" s="615"/>
      <c r="O37" s="615"/>
      <c r="P37" s="615"/>
      <c r="Q37" s="615"/>
      <c r="R37" s="615"/>
      <c r="S37" s="615"/>
      <c r="T37" s="615"/>
      <c r="U37" s="615"/>
      <c r="V37" s="615"/>
      <c r="W37" s="616">
        <f>SUM(K37:V37)</f>
        <v>400</v>
      </c>
      <c r="Y37" s="287"/>
      <c r="Z37" s="287"/>
    </row>
    <row r="38" spans="3:26" s="63" customFormat="1" ht="12" outlineLevel="1" x14ac:dyDescent="0.2">
      <c r="C38" s="64"/>
      <c r="D38" s="610" t="s">
        <v>618</v>
      </c>
      <c r="E38" s="569" t="s">
        <v>640</v>
      </c>
      <c r="F38" s="570">
        <v>1</v>
      </c>
      <c r="G38" s="672">
        <v>400</v>
      </c>
      <c r="H38" s="616">
        <f t="shared" ref="H38" si="20">IF(J38="NO", F38*G38,SUM(J38:V38))</f>
        <v>400</v>
      </c>
      <c r="J38" s="614" t="s">
        <v>564</v>
      </c>
      <c r="K38" s="615"/>
      <c r="L38" s="615"/>
      <c r="M38" s="615">
        <f>H38</f>
        <v>400</v>
      </c>
      <c r="N38" s="615"/>
      <c r="O38" s="615"/>
      <c r="P38" s="615"/>
      <c r="Q38" s="615"/>
      <c r="R38" s="615"/>
      <c r="S38" s="615"/>
      <c r="T38" s="615"/>
      <c r="U38" s="615"/>
      <c r="V38" s="615"/>
      <c r="W38" s="616">
        <f>SUM(K38:V38)</f>
        <v>400</v>
      </c>
      <c r="Y38" s="287"/>
      <c r="Z38" s="287"/>
    </row>
    <row r="39" spans="3:26" s="63" customFormat="1" ht="12" outlineLevel="1" x14ac:dyDescent="0.2">
      <c r="C39" s="64"/>
      <c r="D39" s="610" t="s">
        <v>573</v>
      </c>
      <c r="E39" s="569" t="s">
        <v>639</v>
      </c>
      <c r="F39" s="570">
        <v>4</v>
      </c>
      <c r="G39" s="672">
        <v>200</v>
      </c>
      <c r="H39" s="616">
        <f t="shared" ref="H39:H44" si="21">IF(J39="NO", F39*G39,SUM(J39:V39))</f>
        <v>800</v>
      </c>
      <c r="J39" s="614" t="s">
        <v>564</v>
      </c>
      <c r="K39" s="615"/>
      <c r="L39" s="615">
        <f>H39</f>
        <v>800</v>
      </c>
      <c r="M39" s="615"/>
      <c r="N39" s="615"/>
      <c r="O39" s="615"/>
      <c r="P39" s="615"/>
      <c r="Q39" s="615"/>
      <c r="R39" s="615"/>
      <c r="S39" s="615"/>
      <c r="T39" s="615"/>
      <c r="U39" s="615"/>
      <c r="V39" s="615"/>
      <c r="W39" s="616">
        <f t="shared" ref="W39" si="22">SUM(K39:V39)</f>
        <v>800</v>
      </c>
      <c r="Y39" s="287"/>
      <c r="Z39" s="287"/>
    </row>
    <row r="40" spans="3:26" s="63" customFormat="1" ht="12" outlineLevel="1" x14ac:dyDescent="0.2">
      <c r="C40" s="64"/>
      <c r="D40" s="610" t="s">
        <v>289</v>
      </c>
      <c r="E40" s="569" t="s">
        <v>642</v>
      </c>
      <c r="F40" s="570">
        <v>2</v>
      </c>
      <c r="G40" s="672">
        <v>200</v>
      </c>
      <c r="H40" s="616">
        <f t="shared" si="21"/>
        <v>400</v>
      </c>
      <c r="J40" s="614" t="s">
        <v>564</v>
      </c>
      <c r="K40" s="615"/>
      <c r="L40" s="615">
        <f>H40</f>
        <v>400</v>
      </c>
      <c r="M40" s="615"/>
      <c r="N40" s="615"/>
      <c r="O40" s="615"/>
      <c r="P40" s="615"/>
      <c r="Q40" s="615"/>
      <c r="R40" s="615"/>
      <c r="S40" s="615"/>
      <c r="T40" s="615"/>
      <c r="U40" s="615"/>
      <c r="V40" s="615"/>
      <c r="W40" s="616">
        <f>SUM(K40:V40)</f>
        <v>400</v>
      </c>
      <c r="Y40" s="287"/>
      <c r="Z40" s="287"/>
    </row>
    <row r="41" spans="3:26" s="63" customFormat="1" ht="12" outlineLevel="1" x14ac:dyDescent="0.2">
      <c r="C41" s="64"/>
      <c r="D41" s="610" t="s">
        <v>618</v>
      </c>
      <c r="E41" s="569" t="s">
        <v>643</v>
      </c>
      <c r="F41" s="570">
        <v>10</v>
      </c>
      <c r="G41" s="672">
        <v>200</v>
      </c>
      <c r="H41" s="616">
        <f t="shared" si="21"/>
        <v>2000</v>
      </c>
      <c r="J41" s="614" t="s">
        <v>564</v>
      </c>
      <c r="K41" s="615"/>
      <c r="L41" s="615">
        <f>H41</f>
        <v>2000</v>
      </c>
      <c r="M41" s="615"/>
      <c r="N41" s="615"/>
      <c r="O41" s="615"/>
      <c r="P41" s="615"/>
      <c r="Q41" s="615"/>
      <c r="R41" s="615"/>
      <c r="S41" s="615"/>
      <c r="T41" s="615"/>
      <c r="U41" s="615"/>
      <c r="V41" s="615"/>
      <c r="W41" s="616">
        <f>SUM(K41:V41)</f>
        <v>2000</v>
      </c>
      <c r="Y41" s="287"/>
      <c r="Z41" s="287"/>
    </row>
    <row r="42" spans="3:26" s="63" customFormat="1" ht="12" outlineLevel="1" x14ac:dyDescent="0.2">
      <c r="C42" s="64"/>
      <c r="D42" s="566" t="s">
        <v>266</v>
      </c>
      <c r="E42" s="567" t="s">
        <v>638</v>
      </c>
      <c r="F42" s="568">
        <v>2</v>
      </c>
      <c r="G42" s="618">
        <v>85</v>
      </c>
      <c r="H42" s="616">
        <f t="shared" si="21"/>
        <v>170</v>
      </c>
      <c r="J42" s="617" t="s">
        <v>564</v>
      </c>
      <c r="K42" s="618">
        <v>0</v>
      </c>
      <c r="L42" s="618">
        <v>0</v>
      </c>
      <c r="M42" s="618">
        <v>0</v>
      </c>
      <c r="N42" s="618">
        <v>0</v>
      </c>
      <c r="O42" s="618">
        <v>0</v>
      </c>
      <c r="P42" s="618">
        <f t="shared" ref="P42:P43" si="23">F42*G42</f>
        <v>170</v>
      </c>
      <c r="Q42" s="618">
        <v>0</v>
      </c>
      <c r="R42" s="618">
        <v>0</v>
      </c>
      <c r="S42" s="618">
        <v>0</v>
      </c>
      <c r="T42" s="618">
        <v>0</v>
      </c>
      <c r="U42" s="618">
        <v>0</v>
      </c>
      <c r="V42" s="618">
        <v>0</v>
      </c>
      <c r="W42" s="616">
        <f>SUM(K42:V42)</f>
        <v>170</v>
      </c>
      <c r="Y42" s="287"/>
      <c r="Z42" s="287"/>
    </row>
    <row r="43" spans="3:26" s="63" customFormat="1" ht="12" outlineLevel="1" x14ac:dyDescent="0.2">
      <c r="C43" s="64"/>
      <c r="D43" s="566" t="s">
        <v>267</v>
      </c>
      <c r="E43" s="567" t="s">
        <v>637</v>
      </c>
      <c r="F43" s="568">
        <v>3</v>
      </c>
      <c r="G43" s="618">
        <v>85</v>
      </c>
      <c r="H43" s="616">
        <f t="shared" si="21"/>
        <v>255</v>
      </c>
      <c r="J43" s="617" t="s">
        <v>564</v>
      </c>
      <c r="K43" s="618">
        <v>0</v>
      </c>
      <c r="L43" s="618">
        <v>0</v>
      </c>
      <c r="M43" s="618">
        <v>0</v>
      </c>
      <c r="N43" s="618">
        <v>0</v>
      </c>
      <c r="O43" s="618">
        <v>0</v>
      </c>
      <c r="P43" s="618">
        <f t="shared" si="23"/>
        <v>255</v>
      </c>
      <c r="Q43" s="618">
        <v>0</v>
      </c>
      <c r="R43" s="618">
        <v>0</v>
      </c>
      <c r="S43" s="618">
        <v>0</v>
      </c>
      <c r="T43" s="618">
        <v>0</v>
      </c>
      <c r="U43" s="618">
        <v>0</v>
      </c>
      <c r="V43" s="618">
        <v>0</v>
      </c>
      <c r="W43" s="616">
        <f>SUM(K43:V43)</f>
        <v>255</v>
      </c>
      <c r="Y43" s="287"/>
      <c r="Z43" s="287"/>
    </row>
    <row r="44" spans="3:26" s="63" customFormat="1" ht="12" outlineLevel="1" x14ac:dyDescent="0.2">
      <c r="C44" s="64"/>
      <c r="D44" s="566" t="s">
        <v>266</v>
      </c>
      <c r="E44" s="567" t="s">
        <v>636</v>
      </c>
      <c r="F44" s="568">
        <v>12</v>
      </c>
      <c r="G44" s="618">
        <v>495</v>
      </c>
      <c r="H44" s="616">
        <f t="shared" si="21"/>
        <v>5940</v>
      </c>
      <c r="J44" s="617" t="s">
        <v>564</v>
      </c>
      <c r="K44" s="618">
        <v>495</v>
      </c>
      <c r="L44" s="618">
        <v>495</v>
      </c>
      <c r="M44" s="618">
        <v>495</v>
      </c>
      <c r="N44" s="618">
        <v>495</v>
      </c>
      <c r="O44" s="618">
        <v>495</v>
      </c>
      <c r="P44" s="618">
        <v>495</v>
      </c>
      <c r="Q44" s="618">
        <v>495</v>
      </c>
      <c r="R44" s="618">
        <v>495</v>
      </c>
      <c r="S44" s="618">
        <v>495</v>
      </c>
      <c r="T44" s="618">
        <v>495</v>
      </c>
      <c r="U44" s="618">
        <v>495</v>
      </c>
      <c r="V44" s="618">
        <v>495</v>
      </c>
      <c r="W44" s="616">
        <f t="shared" ref="W44:W48" si="24">SUM(K44:V44)</f>
        <v>5940</v>
      </c>
      <c r="Y44" s="287"/>
      <c r="Z44" s="287"/>
    </row>
    <row r="45" spans="3:26" s="63" customFormat="1" ht="12" outlineLevel="1" x14ac:dyDescent="0.2">
      <c r="C45" s="64"/>
      <c r="D45" s="566" t="s">
        <v>266</v>
      </c>
      <c r="E45" s="567" t="s">
        <v>792</v>
      </c>
      <c r="F45" s="568">
        <v>1</v>
      </c>
      <c r="G45" s="618">
        <v>129</v>
      </c>
      <c r="H45" s="616">
        <f t="shared" ref="H45" si="25">IF(J45="NO", F45*G45,SUM(J45:V45))</f>
        <v>129</v>
      </c>
      <c r="J45" s="617" t="s">
        <v>569</v>
      </c>
      <c r="K45" s="618">
        <v>0</v>
      </c>
      <c r="L45" s="618">
        <v>129</v>
      </c>
      <c r="M45" s="618">
        <v>0</v>
      </c>
      <c r="N45" s="618">
        <v>0</v>
      </c>
      <c r="O45" s="618">
        <v>0</v>
      </c>
      <c r="P45" s="618">
        <v>0</v>
      </c>
      <c r="Q45" s="618">
        <v>0</v>
      </c>
      <c r="R45" s="618">
        <v>0</v>
      </c>
      <c r="S45" s="618">
        <v>0</v>
      </c>
      <c r="T45" s="618">
        <v>0</v>
      </c>
      <c r="U45" s="618">
        <v>0</v>
      </c>
      <c r="V45" s="618">
        <v>0</v>
      </c>
      <c r="W45" s="616">
        <f t="shared" ref="W45" si="26">SUM(K45:V45)</f>
        <v>129</v>
      </c>
      <c r="Y45" s="287"/>
      <c r="Z45" s="287"/>
    </row>
    <row r="46" spans="3:26" s="63" customFormat="1" ht="12" outlineLevel="1" x14ac:dyDescent="0.2">
      <c r="C46" s="64"/>
      <c r="D46" s="566" t="s">
        <v>266</v>
      </c>
      <c r="E46" s="567" t="s">
        <v>635</v>
      </c>
      <c r="F46" s="568">
        <v>1</v>
      </c>
      <c r="G46" s="618">
        <v>119</v>
      </c>
      <c r="H46" s="616">
        <f>IF(J46="NO", F46*G46,SUM(J46:V46))</f>
        <v>119</v>
      </c>
      <c r="J46" s="617" t="s">
        <v>564</v>
      </c>
      <c r="K46" s="618">
        <v>0</v>
      </c>
      <c r="L46" s="618">
        <f>H46</f>
        <v>119</v>
      </c>
      <c r="M46" s="618">
        <v>0</v>
      </c>
      <c r="N46" s="618">
        <v>0</v>
      </c>
      <c r="O46" s="618">
        <v>0</v>
      </c>
      <c r="P46" s="618">
        <v>0</v>
      </c>
      <c r="Q46" s="618">
        <v>0</v>
      </c>
      <c r="R46" s="618">
        <v>0</v>
      </c>
      <c r="S46" s="618">
        <v>0</v>
      </c>
      <c r="T46" s="618">
        <v>0</v>
      </c>
      <c r="U46" s="618">
        <v>0</v>
      </c>
      <c r="V46" s="618">
        <v>0</v>
      </c>
      <c r="W46" s="616">
        <f>SUM(K46:V46)</f>
        <v>119</v>
      </c>
      <c r="Y46" s="287"/>
      <c r="Z46" s="287"/>
    </row>
    <row r="47" spans="3:26" s="63" customFormat="1" ht="12" outlineLevel="1" x14ac:dyDescent="0.2">
      <c r="C47" s="64"/>
      <c r="D47" s="566" t="s">
        <v>266</v>
      </c>
      <c r="E47" s="567" t="s">
        <v>634</v>
      </c>
      <c r="F47" s="568">
        <v>12</v>
      </c>
      <c r="G47" s="618">
        <v>100</v>
      </c>
      <c r="H47" s="616">
        <f t="shared" ref="H47" si="27">IF(J47="NO", F47*G47,SUM(J47:V47))</f>
        <v>1200</v>
      </c>
      <c r="J47" s="617" t="s">
        <v>564</v>
      </c>
      <c r="K47" s="618">
        <v>100</v>
      </c>
      <c r="L47" s="618">
        <v>100</v>
      </c>
      <c r="M47" s="618">
        <v>100</v>
      </c>
      <c r="N47" s="618">
        <v>100</v>
      </c>
      <c r="O47" s="618">
        <v>100</v>
      </c>
      <c r="P47" s="618">
        <v>100</v>
      </c>
      <c r="Q47" s="618">
        <v>100</v>
      </c>
      <c r="R47" s="618">
        <v>100</v>
      </c>
      <c r="S47" s="618">
        <v>100</v>
      </c>
      <c r="T47" s="618">
        <v>100</v>
      </c>
      <c r="U47" s="618">
        <v>100</v>
      </c>
      <c r="V47" s="618">
        <v>100</v>
      </c>
      <c r="W47" s="616">
        <f t="shared" ref="W47" si="28">SUM(K47:V47)</f>
        <v>1200</v>
      </c>
      <c r="Y47" s="287"/>
      <c r="Z47" s="287"/>
    </row>
    <row r="48" spans="3:26" s="63" customFormat="1" ht="12" outlineLevel="1" x14ac:dyDescent="0.2">
      <c r="C48" s="64"/>
      <c r="D48" s="566" t="s">
        <v>266</v>
      </c>
      <c r="E48" s="567" t="s">
        <v>633</v>
      </c>
      <c r="F48" s="568">
        <v>4</v>
      </c>
      <c r="G48" s="618">
        <v>400</v>
      </c>
      <c r="H48" s="616">
        <f t="shared" ref="H48" si="29">IF(J48="NO", F48*G48,SUM(J48:V48))</f>
        <v>1600</v>
      </c>
      <c r="J48" s="617" t="s">
        <v>569</v>
      </c>
      <c r="K48" s="618">
        <v>0</v>
      </c>
      <c r="L48" s="618">
        <v>400</v>
      </c>
      <c r="M48" s="618">
        <v>0</v>
      </c>
      <c r="N48" s="618">
        <v>400</v>
      </c>
      <c r="O48" s="618">
        <v>0</v>
      </c>
      <c r="P48" s="618">
        <v>0</v>
      </c>
      <c r="Q48" s="618">
        <v>400</v>
      </c>
      <c r="R48" s="618">
        <v>0</v>
      </c>
      <c r="S48" s="618">
        <v>0</v>
      </c>
      <c r="T48" s="618">
        <v>400</v>
      </c>
      <c r="U48" s="618">
        <v>0</v>
      </c>
      <c r="V48" s="618">
        <v>0</v>
      </c>
      <c r="W48" s="616">
        <f t="shared" si="24"/>
        <v>1600</v>
      </c>
      <c r="Y48" s="287"/>
      <c r="Z48" s="287"/>
    </row>
    <row r="49" spans="3:26" s="63" customFormat="1" ht="12" outlineLevel="1" x14ac:dyDescent="0.2">
      <c r="C49" s="64"/>
      <c r="D49" s="566" t="s">
        <v>266</v>
      </c>
      <c r="E49" s="567" t="s">
        <v>632</v>
      </c>
      <c r="F49" s="568">
        <v>12</v>
      </c>
      <c r="G49" s="618">
        <v>25</v>
      </c>
      <c r="H49" s="616">
        <f t="shared" si="19"/>
        <v>300</v>
      </c>
      <c r="J49" s="617" t="s">
        <v>564</v>
      </c>
      <c r="K49" s="618">
        <v>25</v>
      </c>
      <c r="L49" s="618">
        <v>25</v>
      </c>
      <c r="M49" s="618">
        <v>25</v>
      </c>
      <c r="N49" s="618">
        <v>25</v>
      </c>
      <c r="O49" s="618">
        <v>25</v>
      </c>
      <c r="P49" s="618">
        <v>25</v>
      </c>
      <c r="Q49" s="618">
        <v>25</v>
      </c>
      <c r="R49" s="618">
        <v>25</v>
      </c>
      <c r="S49" s="618">
        <v>25</v>
      </c>
      <c r="T49" s="618">
        <v>25</v>
      </c>
      <c r="U49" s="618">
        <v>25</v>
      </c>
      <c r="V49" s="618">
        <v>25</v>
      </c>
      <c r="W49" s="616">
        <f t="shared" ref="W49:W53" si="30">SUM(K49:V49)</f>
        <v>300</v>
      </c>
      <c r="Y49" s="287"/>
      <c r="Z49" s="287"/>
    </row>
    <row r="50" spans="3:26" s="63" customFormat="1" ht="12" outlineLevel="1" x14ac:dyDescent="0.2">
      <c r="C50" s="64"/>
      <c r="D50" s="566" t="s">
        <v>267</v>
      </c>
      <c r="E50" s="567" t="s">
        <v>657</v>
      </c>
      <c r="F50" s="568">
        <v>2</v>
      </c>
      <c r="G50" s="618">
        <v>500</v>
      </c>
      <c r="H50" s="616">
        <f t="shared" si="19"/>
        <v>1000</v>
      </c>
      <c r="J50" s="617" t="s">
        <v>569</v>
      </c>
      <c r="K50" s="618">
        <v>0</v>
      </c>
      <c r="L50" s="618">
        <v>0</v>
      </c>
      <c r="M50" s="618">
        <v>0</v>
      </c>
      <c r="N50" s="618">
        <v>500</v>
      </c>
      <c r="O50" s="618">
        <v>0</v>
      </c>
      <c r="P50" s="618">
        <v>0</v>
      </c>
      <c r="Q50" s="618">
        <v>0</v>
      </c>
      <c r="R50" s="618">
        <v>500</v>
      </c>
      <c r="S50" s="618">
        <v>0</v>
      </c>
      <c r="T50" s="618">
        <v>0</v>
      </c>
      <c r="U50" s="618">
        <v>0</v>
      </c>
      <c r="V50" s="618">
        <v>0</v>
      </c>
      <c r="W50" s="616">
        <f t="shared" si="30"/>
        <v>1000</v>
      </c>
      <c r="Y50" s="287"/>
      <c r="Z50" s="287"/>
    </row>
    <row r="51" spans="3:26" s="63" customFormat="1" ht="12" outlineLevel="1" x14ac:dyDescent="0.2">
      <c r="C51" s="64"/>
      <c r="D51" s="680" t="s">
        <v>267</v>
      </c>
      <c r="E51" s="681" t="s">
        <v>656</v>
      </c>
      <c r="F51" s="682">
        <v>4</v>
      </c>
      <c r="G51" s="618">
        <v>500</v>
      </c>
      <c r="H51" s="616">
        <f t="shared" si="19"/>
        <v>1000</v>
      </c>
      <c r="J51" s="617" t="s">
        <v>569</v>
      </c>
      <c r="K51" s="618">
        <v>0</v>
      </c>
      <c r="L51" s="618">
        <v>0</v>
      </c>
      <c r="M51" s="618">
        <v>0</v>
      </c>
      <c r="N51" s="618">
        <v>500</v>
      </c>
      <c r="O51" s="618">
        <v>0</v>
      </c>
      <c r="P51" s="618">
        <v>0</v>
      </c>
      <c r="Q51" s="618">
        <v>0</v>
      </c>
      <c r="R51" s="618">
        <v>500</v>
      </c>
      <c r="S51" s="618">
        <v>0</v>
      </c>
      <c r="T51" s="618">
        <v>0</v>
      </c>
      <c r="U51" s="618">
        <v>0</v>
      </c>
      <c r="V51" s="618">
        <v>0</v>
      </c>
      <c r="W51" s="616">
        <f t="shared" si="30"/>
        <v>1000</v>
      </c>
      <c r="Y51" s="287"/>
      <c r="Z51" s="287"/>
    </row>
    <row r="52" spans="3:26" s="63" customFormat="1" ht="12" outlineLevel="1" x14ac:dyDescent="0.2">
      <c r="C52" s="64"/>
      <c r="D52" s="566" t="s">
        <v>258</v>
      </c>
      <c r="E52" s="567" t="s">
        <v>571</v>
      </c>
      <c r="F52" s="568">
        <v>0</v>
      </c>
      <c r="G52" s="618">
        <v>0</v>
      </c>
      <c r="H52" s="616">
        <f t="shared" si="19"/>
        <v>0</v>
      </c>
      <c r="J52" s="617" t="s">
        <v>569</v>
      </c>
      <c r="K52" s="618">
        <v>0</v>
      </c>
      <c r="L52" s="618">
        <v>0</v>
      </c>
      <c r="M52" s="618">
        <v>0</v>
      </c>
      <c r="N52" s="618">
        <v>0</v>
      </c>
      <c r="O52" s="618">
        <v>0</v>
      </c>
      <c r="P52" s="618">
        <v>0</v>
      </c>
      <c r="Q52" s="618">
        <v>0</v>
      </c>
      <c r="R52" s="618">
        <v>0</v>
      </c>
      <c r="S52" s="618">
        <v>0</v>
      </c>
      <c r="T52" s="618">
        <v>0</v>
      </c>
      <c r="U52" s="618">
        <v>0</v>
      </c>
      <c r="V52" s="618">
        <v>0</v>
      </c>
      <c r="W52" s="616">
        <f t="shared" si="30"/>
        <v>0</v>
      </c>
      <c r="Y52" s="287"/>
      <c r="Z52" s="287"/>
    </row>
    <row r="53" spans="3:26" s="63" customFormat="1" ht="12" outlineLevel="1" x14ac:dyDescent="0.2">
      <c r="C53" s="64"/>
      <c r="D53" s="566" t="s">
        <v>258</v>
      </c>
      <c r="E53" s="567"/>
      <c r="F53" s="568">
        <v>0</v>
      </c>
      <c r="G53" s="618">
        <v>0</v>
      </c>
      <c r="H53" s="616">
        <f t="shared" si="19"/>
        <v>0</v>
      </c>
      <c r="J53" s="617" t="s">
        <v>569</v>
      </c>
      <c r="K53" s="618">
        <v>0</v>
      </c>
      <c r="L53" s="618">
        <v>0</v>
      </c>
      <c r="M53" s="618">
        <v>0</v>
      </c>
      <c r="N53" s="618">
        <v>0</v>
      </c>
      <c r="O53" s="618">
        <v>0</v>
      </c>
      <c r="P53" s="618">
        <v>0</v>
      </c>
      <c r="Q53" s="618">
        <v>0</v>
      </c>
      <c r="R53" s="618">
        <v>0</v>
      </c>
      <c r="S53" s="618">
        <v>0</v>
      </c>
      <c r="T53" s="618">
        <v>0</v>
      </c>
      <c r="U53" s="618">
        <v>0</v>
      </c>
      <c r="V53" s="618">
        <v>0</v>
      </c>
      <c r="W53" s="616">
        <f t="shared" si="30"/>
        <v>0</v>
      </c>
      <c r="Y53" s="287"/>
      <c r="Z53" s="287"/>
    </row>
    <row r="54" spans="3:26" s="63" customFormat="1" ht="3.6" customHeight="1" outlineLevel="1" thickBot="1" x14ac:dyDescent="0.25">
      <c r="C54" s="64"/>
      <c r="D54" s="294"/>
      <c r="E54" s="299"/>
      <c r="F54" s="281"/>
      <c r="G54" s="563"/>
      <c r="H54" s="556"/>
      <c r="J54" s="619"/>
      <c r="K54" s="563"/>
      <c r="L54" s="563"/>
      <c r="M54" s="563"/>
      <c r="N54" s="563"/>
      <c r="O54" s="563"/>
      <c r="P54" s="563"/>
      <c r="Q54" s="563"/>
      <c r="R54" s="563"/>
      <c r="S54" s="563"/>
      <c r="T54" s="563"/>
      <c r="U54" s="563"/>
      <c r="V54" s="563"/>
      <c r="W54" s="556"/>
      <c r="Y54" s="287"/>
      <c r="Z54" s="287"/>
    </row>
    <row r="55" spans="3:26" s="63" customFormat="1" ht="12.75" thickBot="1" x14ac:dyDescent="0.25">
      <c r="C55" s="64"/>
      <c r="D55" s="292"/>
      <c r="E55" s="298"/>
      <c r="F55" s="282" t="str">
        <f>E36</f>
        <v>Prof-Dev/Administrative Lic. Personnel</v>
      </c>
      <c r="G55" s="564">
        <f>C36</f>
        <v>6334</v>
      </c>
      <c r="H55" s="623">
        <f>SUBTOTAL(9,H37:H54)</f>
        <v>15713</v>
      </c>
      <c r="J55" s="624"/>
      <c r="K55" s="622">
        <f t="shared" ref="K55:W55" si="31">SUBTOTAL(9,K37:K54)</f>
        <v>620</v>
      </c>
      <c r="L55" s="622">
        <f t="shared" si="31"/>
        <v>4468</v>
      </c>
      <c r="M55" s="622">
        <f t="shared" si="31"/>
        <v>1420</v>
      </c>
      <c r="N55" s="622">
        <f t="shared" si="31"/>
        <v>2020</v>
      </c>
      <c r="O55" s="622">
        <f t="shared" si="31"/>
        <v>620</v>
      </c>
      <c r="P55" s="622">
        <f t="shared" si="31"/>
        <v>1045</v>
      </c>
      <c r="Q55" s="622">
        <f t="shared" si="31"/>
        <v>1020</v>
      </c>
      <c r="R55" s="622">
        <f t="shared" si="31"/>
        <v>1620</v>
      </c>
      <c r="S55" s="622">
        <f t="shared" si="31"/>
        <v>620</v>
      </c>
      <c r="T55" s="622">
        <f t="shared" si="31"/>
        <v>1020</v>
      </c>
      <c r="U55" s="622">
        <f t="shared" si="31"/>
        <v>620</v>
      </c>
      <c r="V55" s="622">
        <f t="shared" si="31"/>
        <v>620</v>
      </c>
      <c r="W55" s="623">
        <f t="shared" si="31"/>
        <v>15713</v>
      </c>
      <c r="X55" s="63" t="str">
        <f>IF(H55=W55,"OK","Error")</f>
        <v>OK</v>
      </c>
      <c r="Y55" s="287">
        <v>0</v>
      </c>
      <c r="Z55" s="287">
        <f>H55-Y55</f>
        <v>15713</v>
      </c>
    </row>
    <row r="56" spans="3:26" s="63" customFormat="1" ht="12" outlineLevel="1" x14ac:dyDescent="0.2">
      <c r="C56" s="64"/>
      <c r="D56" s="292"/>
      <c r="E56" s="298"/>
      <c r="F56" s="279"/>
      <c r="G56" s="561"/>
      <c r="H56" s="553"/>
      <c r="J56" s="613"/>
      <c r="K56" s="561"/>
      <c r="L56" s="561"/>
      <c r="M56" s="561"/>
      <c r="N56" s="561"/>
      <c r="O56" s="561"/>
      <c r="P56" s="561"/>
      <c r="Q56" s="561"/>
      <c r="R56" s="561"/>
      <c r="S56" s="561"/>
      <c r="T56" s="561"/>
      <c r="U56" s="561"/>
      <c r="V56" s="561"/>
      <c r="W56" s="553"/>
      <c r="Y56" s="287"/>
      <c r="Z56" s="287"/>
    </row>
    <row r="57" spans="3:26" s="63" customFormat="1" ht="12" outlineLevel="1" x14ac:dyDescent="0.2">
      <c r="C57" s="670">
        <v>6336</v>
      </c>
      <c r="D57" s="292"/>
      <c r="E57" s="300" t="s">
        <v>13</v>
      </c>
      <c r="F57" s="279"/>
      <c r="G57" s="561"/>
      <c r="H57" s="553"/>
      <c r="J57" s="613"/>
      <c r="K57" s="561"/>
      <c r="L57" s="561"/>
      <c r="M57" s="561"/>
      <c r="N57" s="561"/>
      <c r="O57" s="561"/>
      <c r="P57" s="561"/>
      <c r="Q57" s="561"/>
      <c r="R57" s="561"/>
      <c r="S57" s="561"/>
      <c r="T57" s="561"/>
      <c r="U57" s="561"/>
      <c r="V57" s="561"/>
      <c r="W57" s="553"/>
      <c r="Y57" s="287"/>
      <c r="Z57" s="287"/>
    </row>
    <row r="58" spans="3:26" s="63" customFormat="1" ht="12" outlineLevel="1" x14ac:dyDescent="0.2">
      <c r="C58" s="64"/>
      <c r="D58" s="610" t="s">
        <v>290</v>
      </c>
      <c r="E58" s="569" t="s">
        <v>620</v>
      </c>
      <c r="F58" s="570">
        <v>1</v>
      </c>
      <c r="G58" s="672">
        <v>400</v>
      </c>
      <c r="H58" s="616">
        <f t="shared" ref="H58" si="32">IF(J58="NO", F58*G58,SUM(J58:V58))</f>
        <v>400</v>
      </c>
      <c r="J58" s="614" t="s">
        <v>564</v>
      </c>
      <c r="K58" s="615"/>
      <c r="L58" s="615"/>
      <c r="M58" s="615">
        <f>H58</f>
        <v>400</v>
      </c>
      <c r="N58" s="615"/>
      <c r="O58" s="615"/>
      <c r="P58" s="615"/>
      <c r="Q58" s="615"/>
      <c r="R58" s="615"/>
      <c r="S58" s="615"/>
      <c r="T58" s="615"/>
      <c r="U58" s="615"/>
      <c r="V58" s="615"/>
      <c r="W58" s="616">
        <f t="shared" ref="W58:W71" si="33">SUM(K58:V58)</f>
        <v>400</v>
      </c>
      <c r="Y58" s="287"/>
      <c r="Z58" s="287"/>
    </row>
    <row r="59" spans="3:26" s="63" customFormat="1" ht="12" outlineLevel="1" x14ac:dyDescent="0.2">
      <c r="C59" s="64"/>
      <c r="D59" s="610" t="s">
        <v>290</v>
      </c>
      <c r="E59" s="569" t="s">
        <v>617</v>
      </c>
      <c r="F59" s="570">
        <v>12</v>
      </c>
      <c r="G59" s="672">
        <v>200</v>
      </c>
      <c r="H59" s="616">
        <f t="shared" ref="H59:H71" si="34">IF(J59="NO", F59*G59,SUM(J59:V59))</f>
        <v>2400</v>
      </c>
      <c r="J59" s="614" t="s">
        <v>564</v>
      </c>
      <c r="K59" s="615"/>
      <c r="L59" s="615">
        <f>H59</f>
        <v>2400</v>
      </c>
      <c r="M59" s="615"/>
      <c r="N59" s="615"/>
      <c r="O59" s="615"/>
      <c r="P59" s="615"/>
      <c r="Q59" s="615"/>
      <c r="R59" s="615"/>
      <c r="S59" s="615"/>
      <c r="T59" s="615"/>
      <c r="U59" s="615"/>
      <c r="V59" s="615"/>
      <c r="W59" s="616">
        <f t="shared" si="33"/>
        <v>2400</v>
      </c>
      <c r="Y59" s="287"/>
      <c r="Z59" s="287"/>
    </row>
    <row r="60" spans="3:26" s="63" customFormat="1" ht="12" outlineLevel="1" x14ac:dyDescent="0.2">
      <c r="C60" s="64"/>
      <c r="D60" s="566" t="s">
        <v>268</v>
      </c>
      <c r="E60" s="567" t="s">
        <v>654</v>
      </c>
      <c r="F60" s="568">
        <v>6</v>
      </c>
      <c r="G60" s="618">
        <v>85</v>
      </c>
      <c r="H60" s="616">
        <f t="shared" si="34"/>
        <v>510</v>
      </c>
      <c r="J60" s="617" t="s">
        <v>569</v>
      </c>
      <c r="K60" s="618">
        <v>0</v>
      </c>
      <c r="L60" s="618">
        <v>0</v>
      </c>
      <c r="M60" s="618">
        <v>0</v>
      </c>
      <c r="N60" s="618">
        <v>0</v>
      </c>
      <c r="O60" s="618">
        <v>0</v>
      </c>
      <c r="P60" s="618">
        <f>F60*G60</f>
        <v>510</v>
      </c>
      <c r="Q60" s="618">
        <v>0</v>
      </c>
      <c r="R60" s="618">
        <v>0</v>
      </c>
      <c r="S60" s="618">
        <v>0</v>
      </c>
      <c r="T60" s="618">
        <v>0</v>
      </c>
      <c r="U60" s="618">
        <v>0</v>
      </c>
      <c r="V60" s="618">
        <v>0</v>
      </c>
      <c r="W60" s="616">
        <f t="shared" si="33"/>
        <v>510</v>
      </c>
      <c r="Y60" s="287"/>
      <c r="Z60" s="287"/>
    </row>
    <row r="61" spans="3:26" s="63" customFormat="1" ht="12" outlineLevel="1" x14ac:dyDescent="0.2">
      <c r="C61" s="64"/>
      <c r="D61" s="566" t="s">
        <v>268</v>
      </c>
      <c r="E61" s="567" t="s">
        <v>655</v>
      </c>
      <c r="F61" s="568">
        <v>2</v>
      </c>
      <c r="G61" s="618">
        <v>250</v>
      </c>
      <c r="H61" s="616">
        <f t="shared" si="34"/>
        <v>500</v>
      </c>
      <c r="J61" s="617" t="s">
        <v>564</v>
      </c>
      <c r="K61" s="618">
        <v>0</v>
      </c>
      <c r="L61" s="618">
        <v>0</v>
      </c>
      <c r="M61" s="618">
        <v>0</v>
      </c>
      <c r="N61" s="618">
        <v>250</v>
      </c>
      <c r="O61" s="618">
        <v>0</v>
      </c>
      <c r="P61" s="618">
        <v>0</v>
      </c>
      <c r="Q61" s="618">
        <v>0</v>
      </c>
      <c r="R61" s="618">
        <v>250</v>
      </c>
      <c r="S61" s="618">
        <v>0</v>
      </c>
      <c r="T61" s="618">
        <v>0</v>
      </c>
      <c r="U61" s="618">
        <v>0</v>
      </c>
      <c r="V61" s="618">
        <v>0</v>
      </c>
      <c r="W61" s="616">
        <f t="shared" si="33"/>
        <v>500</v>
      </c>
      <c r="Y61" s="287"/>
      <c r="Z61" s="287"/>
    </row>
    <row r="62" spans="3:26" s="63" customFormat="1" ht="12" outlineLevel="1" x14ac:dyDescent="0.2">
      <c r="C62" s="64"/>
      <c r="D62" s="566" t="s">
        <v>268</v>
      </c>
      <c r="E62" s="567" t="s">
        <v>658</v>
      </c>
      <c r="F62" s="568">
        <v>2</v>
      </c>
      <c r="G62" s="618">
        <v>250</v>
      </c>
      <c r="H62" s="616">
        <f t="shared" si="34"/>
        <v>500</v>
      </c>
      <c r="J62" s="617" t="s">
        <v>564</v>
      </c>
      <c r="K62" s="618">
        <v>0</v>
      </c>
      <c r="L62" s="618">
        <v>0</v>
      </c>
      <c r="M62" s="618">
        <v>0</v>
      </c>
      <c r="N62" s="618">
        <v>250</v>
      </c>
      <c r="O62" s="618">
        <v>0</v>
      </c>
      <c r="P62" s="618">
        <v>0</v>
      </c>
      <c r="Q62" s="618">
        <v>0</v>
      </c>
      <c r="R62" s="618">
        <v>250</v>
      </c>
      <c r="S62" s="618">
        <v>0</v>
      </c>
      <c r="T62" s="618">
        <v>0</v>
      </c>
      <c r="U62" s="618">
        <v>0</v>
      </c>
      <c r="V62" s="618">
        <v>0</v>
      </c>
      <c r="W62" s="616">
        <f t="shared" si="33"/>
        <v>500</v>
      </c>
      <c r="Y62" s="287"/>
      <c r="Z62" s="287"/>
    </row>
    <row r="63" spans="3:26" s="63" customFormat="1" ht="12" outlineLevel="1" x14ac:dyDescent="0.2">
      <c r="C63" s="64"/>
      <c r="D63" s="680" t="s">
        <v>268</v>
      </c>
      <c r="E63" s="681" t="s">
        <v>799</v>
      </c>
      <c r="F63" s="682">
        <v>2</v>
      </c>
      <c r="G63" s="650">
        <v>250</v>
      </c>
      <c r="H63" s="616">
        <f t="shared" si="34"/>
        <v>0</v>
      </c>
      <c r="J63" s="617" t="s">
        <v>569</v>
      </c>
      <c r="K63" s="618">
        <v>0</v>
      </c>
      <c r="L63" s="618">
        <v>0</v>
      </c>
      <c r="M63" s="618">
        <v>0</v>
      </c>
      <c r="N63" s="618">
        <v>0</v>
      </c>
      <c r="O63" s="618">
        <v>0</v>
      </c>
      <c r="P63" s="618">
        <v>0</v>
      </c>
      <c r="Q63" s="618">
        <v>0</v>
      </c>
      <c r="R63" s="618">
        <v>0</v>
      </c>
      <c r="S63" s="618">
        <v>0</v>
      </c>
      <c r="T63" s="618">
        <v>0</v>
      </c>
      <c r="U63" s="618">
        <v>0</v>
      </c>
      <c r="V63" s="618">
        <v>0</v>
      </c>
      <c r="W63" s="616">
        <f t="shared" si="33"/>
        <v>0</v>
      </c>
      <c r="Y63" s="287"/>
      <c r="Z63" s="287"/>
    </row>
    <row r="64" spans="3:26" s="63" customFormat="1" ht="12" outlineLevel="1" x14ac:dyDescent="0.2">
      <c r="C64" s="64"/>
      <c r="D64" s="566" t="s">
        <v>268</v>
      </c>
      <c r="E64" s="567" t="s">
        <v>800</v>
      </c>
      <c r="F64" s="568">
        <v>2</v>
      </c>
      <c r="G64" s="618">
        <v>500</v>
      </c>
      <c r="H64" s="616">
        <f t="shared" si="34"/>
        <v>1000</v>
      </c>
      <c r="J64" s="617" t="s">
        <v>564</v>
      </c>
      <c r="K64" s="618">
        <v>0</v>
      </c>
      <c r="L64" s="618">
        <v>0</v>
      </c>
      <c r="M64" s="618">
        <v>0</v>
      </c>
      <c r="N64" s="618">
        <v>500</v>
      </c>
      <c r="O64" s="618">
        <v>0</v>
      </c>
      <c r="P64" s="618">
        <v>0</v>
      </c>
      <c r="Q64" s="618">
        <v>0</v>
      </c>
      <c r="R64" s="618">
        <v>500</v>
      </c>
      <c r="S64" s="618">
        <v>0</v>
      </c>
      <c r="T64" s="618">
        <v>0</v>
      </c>
      <c r="U64" s="618">
        <v>0</v>
      </c>
      <c r="V64" s="618">
        <v>0</v>
      </c>
      <c r="W64" s="616">
        <f t="shared" si="33"/>
        <v>1000</v>
      </c>
      <c r="Y64" s="287"/>
      <c r="Z64" s="287"/>
    </row>
    <row r="65" spans="3:26" s="63" customFormat="1" ht="12" outlineLevel="1" x14ac:dyDescent="0.2">
      <c r="C65" s="64"/>
      <c r="D65" s="566" t="s">
        <v>268</v>
      </c>
      <c r="E65" s="567" t="s">
        <v>801</v>
      </c>
      <c r="F65" s="568">
        <v>2</v>
      </c>
      <c r="G65" s="618">
        <v>250</v>
      </c>
      <c r="H65" s="616">
        <f t="shared" si="34"/>
        <v>500</v>
      </c>
      <c r="J65" s="617" t="s">
        <v>564</v>
      </c>
      <c r="K65" s="618">
        <v>0</v>
      </c>
      <c r="L65" s="618">
        <v>0</v>
      </c>
      <c r="M65" s="618">
        <v>0</v>
      </c>
      <c r="N65" s="618">
        <v>250</v>
      </c>
      <c r="O65" s="618">
        <v>0</v>
      </c>
      <c r="P65" s="618">
        <v>0</v>
      </c>
      <c r="Q65" s="618">
        <v>0</v>
      </c>
      <c r="R65" s="618">
        <v>250</v>
      </c>
      <c r="S65" s="618">
        <v>0</v>
      </c>
      <c r="T65" s="618">
        <v>0</v>
      </c>
      <c r="U65" s="618">
        <v>0</v>
      </c>
      <c r="V65" s="618">
        <v>0</v>
      </c>
      <c r="W65" s="616">
        <f t="shared" si="33"/>
        <v>500</v>
      </c>
      <c r="Y65" s="287"/>
      <c r="Z65" s="287"/>
    </row>
    <row r="66" spans="3:26" s="63" customFormat="1" ht="12" outlineLevel="1" x14ac:dyDescent="0.2">
      <c r="C66" s="64"/>
      <c r="D66" s="566" t="s">
        <v>268</v>
      </c>
      <c r="E66" s="567" t="s">
        <v>802</v>
      </c>
      <c r="F66" s="568">
        <v>2</v>
      </c>
      <c r="G66" s="618">
        <v>250</v>
      </c>
      <c r="H66" s="616">
        <f t="shared" si="34"/>
        <v>500</v>
      </c>
      <c r="J66" s="617" t="s">
        <v>564</v>
      </c>
      <c r="K66" s="618">
        <v>0</v>
      </c>
      <c r="L66" s="618">
        <v>0</v>
      </c>
      <c r="M66" s="618">
        <v>0</v>
      </c>
      <c r="N66" s="618">
        <v>250</v>
      </c>
      <c r="O66" s="618">
        <v>0</v>
      </c>
      <c r="P66" s="618">
        <v>0</v>
      </c>
      <c r="Q66" s="618">
        <v>0</v>
      </c>
      <c r="R66" s="618">
        <v>250</v>
      </c>
      <c r="S66" s="618">
        <v>0</v>
      </c>
      <c r="T66" s="618">
        <v>0</v>
      </c>
      <c r="U66" s="618">
        <v>0</v>
      </c>
      <c r="V66" s="618">
        <v>0</v>
      </c>
      <c r="W66" s="616">
        <f t="shared" si="33"/>
        <v>500</v>
      </c>
      <c r="Y66" s="287"/>
      <c r="Z66" s="287"/>
    </row>
    <row r="67" spans="3:26" s="63" customFormat="1" ht="12" outlineLevel="1" x14ac:dyDescent="0.2">
      <c r="C67" s="64"/>
      <c r="D67" s="566" t="s">
        <v>268</v>
      </c>
      <c r="E67" s="567" t="s">
        <v>803</v>
      </c>
      <c r="F67" s="568">
        <v>2</v>
      </c>
      <c r="G67" s="618">
        <v>250</v>
      </c>
      <c r="H67" s="616">
        <f t="shared" si="34"/>
        <v>500</v>
      </c>
      <c r="J67" s="617" t="s">
        <v>564</v>
      </c>
      <c r="K67" s="618">
        <v>0</v>
      </c>
      <c r="L67" s="618">
        <v>0</v>
      </c>
      <c r="M67" s="618">
        <v>0</v>
      </c>
      <c r="N67" s="618">
        <v>250</v>
      </c>
      <c r="O67" s="618">
        <v>0</v>
      </c>
      <c r="P67" s="618">
        <v>0</v>
      </c>
      <c r="Q67" s="618">
        <v>0</v>
      </c>
      <c r="R67" s="618">
        <v>250</v>
      </c>
      <c r="S67" s="618">
        <v>0</v>
      </c>
      <c r="T67" s="618">
        <v>0</v>
      </c>
      <c r="U67" s="618">
        <v>0</v>
      </c>
      <c r="V67" s="618">
        <v>0</v>
      </c>
      <c r="W67" s="616">
        <f t="shared" si="33"/>
        <v>500</v>
      </c>
      <c r="Y67" s="287"/>
      <c r="Z67" s="287"/>
    </row>
    <row r="68" spans="3:26" s="63" customFormat="1" ht="12" outlineLevel="1" x14ac:dyDescent="0.2">
      <c r="C68" s="64"/>
      <c r="D68" s="566" t="s">
        <v>268</v>
      </c>
      <c r="E68" s="567" t="s">
        <v>804</v>
      </c>
      <c r="F68" s="568">
        <v>2</v>
      </c>
      <c r="G68" s="618">
        <v>500</v>
      </c>
      <c r="H68" s="616">
        <f t="shared" si="34"/>
        <v>1000</v>
      </c>
      <c r="J68" s="617" t="s">
        <v>564</v>
      </c>
      <c r="K68" s="618">
        <v>0</v>
      </c>
      <c r="L68" s="618">
        <v>0</v>
      </c>
      <c r="M68" s="618">
        <v>0</v>
      </c>
      <c r="N68" s="618">
        <v>500</v>
      </c>
      <c r="O68" s="618">
        <v>0</v>
      </c>
      <c r="P68" s="618">
        <v>0</v>
      </c>
      <c r="Q68" s="618">
        <v>0</v>
      </c>
      <c r="R68" s="618">
        <v>500</v>
      </c>
      <c r="S68" s="618">
        <v>0</v>
      </c>
      <c r="T68" s="618">
        <v>0</v>
      </c>
      <c r="U68" s="618">
        <v>0</v>
      </c>
      <c r="V68" s="618">
        <v>0</v>
      </c>
      <c r="W68" s="616">
        <f t="shared" si="33"/>
        <v>1000</v>
      </c>
      <c r="Y68" s="287"/>
      <c r="Z68" s="287"/>
    </row>
    <row r="69" spans="3:26" s="63" customFormat="1" ht="12" outlineLevel="1" x14ac:dyDescent="0.2">
      <c r="C69" s="64"/>
      <c r="D69" s="680" t="s">
        <v>268</v>
      </c>
      <c r="E69" s="681" t="s">
        <v>798</v>
      </c>
      <c r="F69" s="682">
        <v>2</v>
      </c>
      <c r="G69" s="650">
        <v>250</v>
      </c>
      <c r="H69" s="616">
        <f t="shared" si="34"/>
        <v>0</v>
      </c>
      <c r="J69" s="617" t="s">
        <v>569</v>
      </c>
      <c r="K69" s="618">
        <v>0</v>
      </c>
      <c r="L69" s="618">
        <v>0</v>
      </c>
      <c r="M69" s="618">
        <v>0</v>
      </c>
      <c r="N69" s="618">
        <v>0</v>
      </c>
      <c r="O69" s="618">
        <v>0</v>
      </c>
      <c r="P69" s="618">
        <v>0</v>
      </c>
      <c r="Q69" s="618">
        <v>0</v>
      </c>
      <c r="R69" s="618">
        <v>0</v>
      </c>
      <c r="S69" s="618">
        <v>0</v>
      </c>
      <c r="T69" s="618">
        <v>0</v>
      </c>
      <c r="U69" s="618">
        <v>0</v>
      </c>
      <c r="V69" s="618">
        <v>0</v>
      </c>
      <c r="W69" s="616">
        <f t="shared" si="33"/>
        <v>0</v>
      </c>
      <c r="Y69" s="287"/>
      <c r="Z69" s="287"/>
    </row>
    <row r="70" spans="3:26" s="63" customFormat="1" ht="12" outlineLevel="1" x14ac:dyDescent="0.2">
      <c r="C70" s="64"/>
      <c r="D70" s="566" t="s">
        <v>268</v>
      </c>
      <c r="E70" s="567" t="s">
        <v>659</v>
      </c>
      <c r="F70" s="568">
        <v>12</v>
      </c>
      <c r="G70" s="618">
        <v>25</v>
      </c>
      <c r="H70" s="616">
        <f t="shared" si="34"/>
        <v>300</v>
      </c>
      <c r="J70" s="617" t="s">
        <v>569</v>
      </c>
      <c r="K70" s="618">
        <v>25</v>
      </c>
      <c r="L70" s="618">
        <v>25</v>
      </c>
      <c r="M70" s="618">
        <v>25</v>
      </c>
      <c r="N70" s="618">
        <v>25</v>
      </c>
      <c r="O70" s="618">
        <v>25</v>
      </c>
      <c r="P70" s="618">
        <v>25</v>
      </c>
      <c r="Q70" s="618">
        <v>25</v>
      </c>
      <c r="R70" s="618">
        <v>25</v>
      </c>
      <c r="S70" s="618">
        <v>25</v>
      </c>
      <c r="T70" s="618">
        <v>25</v>
      </c>
      <c r="U70" s="618">
        <v>25</v>
      </c>
      <c r="V70" s="618">
        <v>25</v>
      </c>
      <c r="W70" s="616">
        <f t="shared" si="33"/>
        <v>300</v>
      </c>
      <c r="Y70" s="287"/>
      <c r="Z70" s="287"/>
    </row>
    <row r="71" spans="3:26" s="63" customFormat="1" ht="12" outlineLevel="1" x14ac:dyDescent="0.2">
      <c r="C71" s="64"/>
      <c r="D71" s="566" t="s">
        <v>268</v>
      </c>
      <c r="E71" s="567" t="s">
        <v>571</v>
      </c>
      <c r="F71" s="568">
        <v>0</v>
      </c>
      <c r="G71" s="618">
        <v>0</v>
      </c>
      <c r="H71" s="616">
        <f t="shared" si="34"/>
        <v>0</v>
      </c>
      <c r="J71" s="617" t="s">
        <v>564</v>
      </c>
      <c r="K71" s="618">
        <f t="shared" ref="K71:V71" si="35">$F71*$G71/12</f>
        <v>0</v>
      </c>
      <c r="L71" s="618">
        <f t="shared" si="35"/>
        <v>0</v>
      </c>
      <c r="M71" s="618">
        <f t="shared" si="35"/>
        <v>0</v>
      </c>
      <c r="N71" s="618">
        <f t="shared" si="35"/>
        <v>0</v>
      </c>
      <c r="O71" s="618">
        <f t="shared" si="35"/>
        <v>0</v>
      </c>
      <c r="P71" s="618">
        <f t="shared" si="35"/>
        <v>0</v>
      </c>
      <c r="Q71" s="618">
        <f t="shared" si="35"/>
        <v>0</v>
      </c>
      <c r="R71" s="618">
        <f t="shared" si="35"/>
        <v>0</v>
      </c>
      <c r="S71" s="618">
        <f t="shared" si="35"/>
        <v>0</v>
      </c>
      <c r="T71" s="618">
        <f t="shared" si="35"/>
        <v>0</v>
      </c>
      <c r="U71" s="618">
        <f t="shared" si="35"/>
        <v>0</v>
      </c>
      <c r="V71" s="618">
        <f t="shared" si="35"/>
        <v>0</v>
      </c>
      <c r="W71" s="616">
        <f t="shared" si="33"/>
        <v>0</v>
      </c>
      <c r="Y71" s="287"/>
      <c r="Z71" s="287"/>
    </row>
    <row r="72" spans="3:26" s="63" customFormat="1" ht="12" outlineLevel="1" x14ac:dyDescent="0.2">
      <c r="C72" s="64"/>
      <c r="D72" s="566"/>
      <c r="E72" s="567"/>
      <c r="F72" s="568">
        <v>0</v>
      </c>
      <c r="G72" s="618">
        <v>0</v>
      </c>
      <c r="H72" s="616">
        <f t="shared" ref="H72" si="36">IF(J72="NO", F72*G72,SUM(J72:V72))</f>
        <v>0</v>
      </c>
      <c r="J72" s="617" t="s">
        <v>564</v>
      </c>
      <c r="K72" s="618">
        <v>0</v>
      </c>
      <c r="L72" s="618">
        <v>0</v>
      </c>
      <c r="M72" s="618">
        <v>0</v>
      </c>
      <c r="N72" s="618">
        <v>0</v>
      </c>
      <c r="O72" s="618">
        <v>0</v>
      </c>
      <c r="P72" s="618">
        <v>0</v>
      </c>
      <c r="Q72" s="618">
        <v>0</v>
      </c>
      <c r="R72" s="618">
        <v>0</v>
      </c>
      <c r="S72" s="618">
        <v>0</v>
      </c>
      <c r="T72" s="618">
        <v>0</v>
      </c>
      <c r="U72" s="618">
        <v>0</v>
      </c>
      <c r="V72" s="618">
        <v>0</v>
      </c>
      <c r="W72" s="616">
        <f t="shared" ref="W72" si="37">SUM(K72:V72)</f>
        <v>0</v>
      </c>
      <c r="Y72" s="287"/>
      <c r="Z72" s="287"/>
    </row>
    <row r="73" spans="3:26" s="63" customFormat="1" ht="3.6" customHeight="1" outlineLevel="1" thickBot="1" x14ac:dyDescent="0.25">
      <c r="C73" s="64"/>
      <c r="D73" s="294"/>
      <c r="E73" s="299"/>
      <c r="F73" s="281"/>
      <c r="G73" s="563"/>
      <c r="H73" s="556"/>
      <c r="J73" s="619"/>
      <c r="K73" s="563"/>
      <c r="L73" s="563"/>
      <c r="M73" s="563"/>
      <c r="N73" s="563"/>
      <c r="O73" s="563"/>
      <c r="P73" s="563"/>
      <c r="Q73" s="563"/>
      <c r="R73" s="563"/>
      <c r="S73" s="563"/>
      <c r="T73" s="563"/>
      <c r="U73" s="563"/>
      <c r="V73" s="563"/>
      <c r="W73" s="556"/>
      <c r="Y73" s="287"/>
      <c r="Z73" s="287"/>
    </row>
    <row r="74" spans="3:26" s="63" customFormat="1" ht="12.75" thickBot="1" x14ac:dyDescent="0.25">
      <c r="C74" s="64"/>
      <c r="D74" s="292"/>
      <c r="E74" s="298"/>
      <c r="F74" s="282" t="str">
        <f>E57</f>
        <v>Prof-Dev/Other Classfied-Support Personnel</v>
      </c>
      <c r="G74" s="564">
        <v>6336</v>
      </c>
      <c r="H74" s="623">
        <f>SUBTOTAL(9,H58:H73)</f>
        <v>8110</v>
      </c>
      <c r="J74" s="624"/>
      <c r="K74" s="622">
        <f t="shared" ref="K74:V74" si="38">SUBTOTAL(9,K58:K73)</f>
        <v>25</v>
      </c>
      <c r="L74" s="622">
        <f t="shared" si="38"/>
        <v>2425</v>
      </c>
      <c r="M74" s="622">
        <f t="shared" si="38"/>
        <v>425</v>
      </c>
      <c r="N74" s="622">
        <f t="shared" si="38"/>
        <v>2275</v>
      </c>
      <c r="O74" s="622">
        <f t="shared" si="38"/>
        <v>25</v>
      </c>
      <c r="P74" s="622">
        <f t="shared" si="38"/>
        <v>535</v>
      </c>
      <c r="Q74" s="622">
        <f t="shared" si="38"/>
        <v>25</v>
      </c>
      <c r="R74" s="622">
        <f t="shared" si="38"/>
        <v>2275</v>
      </c>
      <c r="S74" s="622">
        <f t="shared" si="38"/>
        <v>25</v>
      </c>
      <c r="T74" s="622">
        <f t="shared" si="38"/>
        <v>25</v>
      </c>
      <c r="U74" s="622">
        <f t="shared" si="38"/>
        <v>25</v>
      </c>
      <c r="V74" s="622">
        <f t="shared" si="38"/>
        <v>25</v>
      </c>
      <c r="W74" s="623">
        <f>SUBTOTAL(9,W58:W73)</f>
        <v>8110</v>
      </c>
      <c r="X74" s="63" t="str">
        <f>IF(H74=W74,"OK","Error")</f>
        <v>OK</v>
      </c>
      <c r="Y74" s="287">
        <v>0</v>
      </c>
      <c r="Z74" s="287">
        <f>H74-Y74</f>
        <v>8110</v>
      </c>
    </row>
    <row r="75" spans="3:26" s="63" customFormat="1" ht="12" outlineLevel="1" x14ac:dyDescent="0.2">
      <c r="C75" s="64"/>
      <c r="D75" s="292"/>
      <c r="E75" s="298"/>
      <c r="F75" s="279"/>
      <c r="G75" s="561"/>
      <c r="H75" s="553"/>
      <c r="J75" s="613"/>
      <c r="K75" s="561"/>
      <c r="L75" s="561"/>
      <c r="M75" s="561"/>
      <c r="N75" s="561"/>
      <c r="O75" s="561"/>
      <c r="P75" s="561"/>
      <c r="Q75" s="561"/>
      <c r="R75" s="561"/>
      <c r="S75" s="561"/>
      <c r="T75" s="561"/>
      <c r="U75" s="561"/>
      <c r="V75" s="561"/>
      <c r="W75" s="553"/>
      <c r="Y75" s="287"/>
      <c r="Z75" s="287"/>
    </row>
    <row r="76" spans="3:26" s="63" customFormat="1" ht="12" outlineLevel="1" x14ac:dyDescent="0.2">
      <c r="C76" s="670">
        <v>6337</v>
      </c>
      <c r="D76" s="292"/>
      <c r="E76" s="298" t="s">
        <v>14</v>
      </c>
      <c r="F76" s="279"/>
      <c r="G76" s="561"/>
      <c r="H76" s="553"/>
      <c r="J76" s="613"/>
      <c r="K76" s="561"/>
      <c r="L76" s="561"/>
      <c r="M76" s="561"/>
      <c r="N76" s="561"/>
      <c r="O76" s="561"/>
      <c r="P76" s="561"/>
      <c r="Q76" s="561"/>
      <c r="R76" s="561"/>
      <c r="S76" s="561"/>
      <c r="T76" s="561"/>
      <c r="U76" s="561"/>
      <c r="V76" s="561"/>
      <c r="W76" s="553"/>
      <c r="Y76" s="287"/>
      <c r="Z76" s="287"/>
    </row>
    <row r="77" spans="3:26" s="63" customFormat="1" ht="12" outlineLevel="1" x14ac:dyDescent="0.2">
      <c r="C77" s="64"/>
      <c r="D77" s="566" t="s">
        <v>267</v>
      </c>
      <c r="E77" s="567" t="s">
        <v>558</v>
      </c>
      <c r="F77" s="568">
        <v>0</v>
      </c>
      <c r="G77" s="618">
        <v>0</v>
      </c>
      <c r="H77" s="616">
        <f t="shared" ref="H77:H79" si="39">IF(J77="NO", F77*G77,SUM(J77:V77))</f>
        <v>0</v>
      </c>
      <c r="J77" s="617" t="s">
        <v>564</v>
      </c>
      <c r="K77" s="618">
        <v>0</v>
      </c>
      <c r="L77" s="618">
        <v>0</v>
      </c>
      <c r="M77" s="618">
        <v>0</v>
      </c>
      <c r="N77" s="618">
        <v>0</v>
      </c>
      <c r="O77" s="618">
        <v>0</v>
      </c>
      <c r="P77" s="618">
        <v>0</v>
      </c>
      <c r="Q77" s="618">
        <v>0</v>
      </c>
      <c r="R77" s="618">
        <v>0</v>
      </c>
      <c r="S77" s="618">
        <v>0</v>
      </c>
      <c r="T77" s="618">
        <v>0</v>
      </c>
      <c r="U77" s="618">
        <v>0</v>
      </c>
      <c r="V77" s="618">
        <v>0</v>
      </c>
      <c r="W77" s="616">
        <f t="shared" ref="W77:W79" si="40">SUM(K77:V77)</f>
        <v>0</v>
      </c>
      <c r="Y77" s="287"/>
      <c r="Z77" s="287"/>
    </row>
    <row r="78" spans="3:26" s="63" customFormat="1" ht="12" outlineLevel="1" x14ac:dyDescent="0.2">
      <c r="C78" s="64"/>
      <c r="D78" s="566" t="s">
        <v>258</v>
      </c>
      <c r="E78" s="567" t="s">
        <v>571</v>
      </c>
      <c r="F78" s="568">
        <v>0</v>
      </c>
      <c r="G78" s="618">
        <v>0</v>
      </c>
      <c r="H78" s="616">
        <f t="shared" si="39"/>
        <v>0</v>
      </c>
      <c r="J78" s="617" t="s">
        <v>564</v>
      </c>
      <c r="K78" s="618">
        <v>0</v>
      </c>
      <c r="L78" s="618">
        <v>0</v>
      </c>
      <c r="M78" s="618">
        <v>0</v>
      </c>
      <c r="N78" s="618">
        <v>0</v>
      </c>
      <c r="O78" s="618">
        <v>0</v>
      </c>
      <c r="P78" s="618">
        <v>0</v>
      </c>
      <c r="Q78" s="618">
        <v>0</v>
      </c>
      <c r="R78" s="618">
        <v>0</v>
      </c>
      <c r="S78" s="618">
        <v>0</v>
      </c>
      <c r="T78" s="618">
        <v>0</v>
      </c>
      <c r="U78" s="618">
        <v>0</v>
      </c>
      <c r="V78" s="618">
        <v>0</v>
      </c>
      <c r="W78" s="616">
        <f t="shared" si="40"/>
        <v>0</v>
      </c>
      <c r="Y78" s="287"/>
      <c r="Z78" s="287"/>
    </row>
    <row r="79" spans="3:26" s="63" customFormat="1" ht="12" outlineLevel="1" x14ac:dyDescent="0.2">
      <c r="C79" s="64"/>
      <c r="D79" s="566" t="s">
        <v>258</v>
      </c>
      <c r="E79" s="567"/>
      <c r="F79" s="568">
        <v>0</v>
      </c>
      <c r="G79" s="618">
        <v>0</v>
      </c>
      <c r="H79" s="616">
        <f t="shared" si="39"/>
        <v>0</v>
      </c>
      <c r="J79" s="617" t="s">
        <v>564</v>
      </c>
      <c r="K79" s="618">
        <v>0</v>
      </c>
      <c r="L79" s="618">
        <v>0</v>
      </c>
      <c r="M79" s="618">
        <v>0</v>
      </c>
      <c r="N79" s="618">
        <v>0</v>
      </c>
      <c r="O79" s="618">
        <v>0</v>
      </c>
      <c r="P79" s="618">
        <v>0</v>
      </c>
      <c r="Q79" s="618">
        <v>0</v>
      </c>
      <c r="R79" s="618">
        <v>0</v>
      </c>
      <c r="S79" s="618">
        <v>0</v>
      </c>
      <c r="T79" s="618">
        <v>0</v>
      </c>
      <c r="U79" s="618">
        <v>0</v>
      </c>
      <c r="V79" s="618">
        <v>0</v>
      </c>
      <c r="W79" s="616">
        <f t="shared" si="40"/>
        <v>0</v>
      </c>
      <c r="Y79" s="287"/>
      <c r="Z79" s="287"/>
    </row>
    <row r="80" spans="3:26" s="63" customFormat="1" ht="3.6" customHeight="1" outlineLevel="1" thickBot="1" x14ac:dyDescent="0.25">
      <c r="C80" s="64"/>
      <c r="D80" s="294"/>
      <c r="E80" s="299"/>
      <c r="F80" s="281"/>
      <c r="G80" s="563"/>
      <c r="H80" s="556"/>
      <c r="J80" s="619"/>
      <c r="K80" s="563"/>
      <c r="L80" s="563"/>
      <c r="M80" s="563"/>
      <c r="N80" s="563"/>
      <c r="O80" s="563"/>
      <c r="P80" s="563"/>
      <c r="Q80" s="563"/>
      <c r="R80" s="563"/>
      <c r="S80" s="563"/>
      <c r="T80" s="563"/>
      <c r="U80" s="563"/>
      <c r="V80" s="563"/>
      <c r="W80" s="556"/>
      <c r="Y80" s="287"/>
      <c r="Z80" s="287"/>
    </row>
    <row r="81" spans="3:26" s="63" customFormat="1" ht="12.75" thickBot="1" x14ac:dyDescent="0.25">
      <c r="C81" s="64"/>
      <c r="D81" s="292"/>
      <c r="E81" s="298"/>
      <c r="F81" s="282" t="str">
        <f>E76</f>
        <v>Prof-Dev/Technology Training</v>
      </c>
      <c r="G81" s="564">
        <f>C76</f>
        <v>6337</v>
      </c>
      <c r="H81" s="623">
        <f>SUBTOTAL(9,H77:H80)</f>
        <v>0</v>
      </c>
      <c r="J81" s="625"/>
      <c r="K81" s="622">
        <f t="shared" ref="K81:V81" si="41">SUBTOTAL(9,K58:K80)</f>
        <v>25</v>
      </c>
      <c r="L81" s="622">
        <f t="shared" si="41"/>
        <v>2425</v>
      </c>
      <c r="M81" s="622">
        <f t="shared" si="41"/>
        <v>425</v>
      </c>
      <c r="N81" s="622">
        <f t="shared" si="41"/>
        <v>2275</v>
      </c>
      <c r="O81" s="622">
        <f t="shared" si="41"/>
        <v>25</v>
      </c>
      <c r="P81" s="622">
        <f t="shared" si="41"/>
        <v>535</v>
      </c>
      <c r="Q81" s="622">
        <f t="shared" si="41"/>
        <v>25</v>
      </c>
      <c r="R81" s="622">
        <f t="shared" si="41"/>
        <v>2275</v>
      </c>
      <c r="S81" s="622">
        <f t="shared" si="41"/>
        <v>25</v>
      </c>
      <c r="T81" s="622">
        <f t="shared" si="41"/>
        <v>25</v>
      </c>
      <c r="U81" s="622">
        <f t="shared" si="41"/>
        <v>25</v>
      </c>
      <c r="V81" s="622">
        <f t="shared" si="41"/>
        <v>25</v>
      </c>
      <c r="W81" s="623">
        <f>SUBTOTAL(9,W77:W80)</f>
        <v>0</v>
      </c>
      <c r="X81" s="63" t="str">
        <f>IF(H81=W81,"OK","Error")</f>
        <v>OK</v>
      </c>
      <c r="Y81" s="287">
        <v>0</v>
      </c>
      <c r="Z81" s="287">
        <f>H81-Y81</f>
        <v>0</v>
      </c>
    </row>
    <row r="82" spans="3:26" s="63" customFormat="1" ht="12" outlineLevel="1" x14ac:dyDescent="0.2">
      <c r="C82" s="64"/>
      <c r="D82" s="292"/>
      <c r="E82" s="298"/>
      <c r="F82" s="279"/>
      <c r="G82" s="561"/>
      <c r="H82" s="553"/>
      <c r="J82" s="613"/>
      <c r="K82" s="561"/>
      <c r="L82" s="561"/>
      <c r="M82" s="561"/>
      <c r="N82" s="561"/>
      <c r="O82" s="561"/>
      <c r="P82" s="561"/>
      <c r="Q82" s="561"/>
      <c r="R82" s="561"/>
      <c r="S82" s="561"/>
      <c r="T82" s="561"/>
      <c r="U82" s="561"/>
      <c r="V82" s="561"/>
      <c r="W82" s="553"/>
      <c r="Y82" s="287"/>
      <c r="Z82" s="287"/>
    </row>
    <row r="83" spans="3:26" s="63" customFormat="1" ht="12" outlineLevel="1" x14ac:dyDescent="0.2">
      <c r="C83" s="670">
        <v>6340</v>
      </c>
      <c r="D83" s="292"/>
      <c r="E83" s="298" t="s">
        <v>15</v>
      </c>
      <c r="F83" s="279"/>
      <c r="G83" s="561"/>
      <c r="H83" s="553"/>
      <c r="J83" s="613"/>
      <c r="K83" s="561"/>
      <c r="L83" s="561"/>
      <c r="M83" s="561"/>
      <c r="N83" s="561"/>
      <c r="O83" s="561"/>
      <c r="P83" s="561"/>
      <c r="Q83" s="561"/>
      <c r="R83" s="561"/>
      <c r="S83" s="561"/>
      <c r="T83" s="561"/>
      <c r="U83" s="561"/>
      <c r="V83" s="561"/>
      <c r="W83" s="553"/>
      <c r="Y83" s="287"/>
      <c r="Z83" s="287"/>
    </row>
    <row r="84" spans="3:26" s="63" customFormat="1" ht="12" outlineLevel="1" x14ac:dyDescent="0.2">
      <c r="C84" s="64"/>
      <c r="D84" s="673" t="s">
        <v>323</v>
      </c>
      <c r="E84" s="569" t="s">
        <v>502</v>
      </c>
      <c r="F84" s="570">
        <v>1</v>
      </c>
      <c r="G84" s="672">
        <v>10200</v>
      </c>
      <c r="H84" s="616">
        <f t="shared" ref="H84:H105" si="42">IF(J84="NO", F84*G84,SUM(J84:V84))</f>
        <v>10200</v>
      </c>
      <c r="J84" s="614" t="s">
        <v>569</v>
      </c>
      <c r="K84" s="615">
        <v>0</v>
      </c>
      <c r="L84" s="615">
        <v>0</v>
      </c>
      <c r="M84" s="615">
        <v>0</v>
      </c>
      <c r="N84" s="615">
        <v>0</v>
      </c>
      <c r="O84" s="615">
        <v>0</v>
      </c>
      <c r="P84" s="615">
        <v>0</v>
      </c>
      <c r="Q84" s="615">
        <v>0</v>
      </c>
      <c r="R84" s="615">
        <v>0</v>
      </c>
      <c r="S84" s="615">
        <v>0</v>
      </c>
      <c r="T84" s="615">
        <v>0</v>
      </c>
      <c r="U84" s="615">
        <v>0</v>
      </c>
      <c r="V84" s="615">
        <v>10200</v>
      </c>
      <c r="W84" s="616">
        <f t="shared" ref="W84" si="43">SUM(K84:V84)</f>
        <v>10200</v>
      </c>
      <c r="Y84" s="287"/>
      <c r="Z84" s="287"/>
    </row>
    <row r="85" spans="3:26" s="63" customFormat="1" ht="12" outlineLevel="1" x14ac:dyDescent="0.2">
      <c r="C85" s="64"/>
      <c r="D85" s="566" t="s">
        <v>323</v>
      </c>
      <c r="E85" s="567" t="s">
        <v>786</v>
      </c>
      <c r="F85" s="568">
        <v>2</v>
      </c>
      <c r="G85" s="618">
        <v>600</v>
      </c>
      <c r="H85" s="616">
        <f t="shared" si="42"/>
        <v>1150</v>
      </c>
      <c r="J85" s="617" t="s">
        <v>569</v>
      </c>
      <c r="K85" s="618">
        <v>0</v>
      </c>
      <c r="L85" s="618">
        <v>0</v>
      </c>
      <c r="M85" s="618">
        <v>0</v>
      </c>
      <c r="N85" s="618">
        <v>0</v>
      </c>
      <c r="O85" s="618">
        <v>750</v>
      </c>
      <c r="P85" s="618">
        <v>0</v>
      </c>
      <c r="Q85" s="618">
        <v>0</v>
      </c>
      <c r="R85" s="618">
        <v>0</v>
      </c>
      <c r="S85" s="618">
        <v>0</v>
      </c>
      <c r="T85" s="618">
        <v>0</v>
      </c>
      <c r="U85" s="618">
        <v>400</v>
      </c>
      <c r="V85" s="618">
        <v>0</v>
      </c>
      <c r="W85" s="616">
        <f t="shared" ref="W85:W105" si="44">SUM(K85:V85)</f>
        <v>1150</v>
      </c>
      <c r="Y85" s="287"/>
      <c r="Z85" s="287"/>
    </row>
    <row r="86" spans="3:26" s="63" customFormat="1" ht="12" outlineLevel="1" x14ac:dyDescent="0.2">
      <c r="C86" s="64"/>
      <c r="D86" s="566" t="s">
        <v>323</v>
      </c>
      <c r="E86" s="567" t="s">
        <v>503</v>
      </c>
      <c r="F86" s="568">
        <v>12</v>
      </c>
      <c r="G86" s="618">
        <v>50</v>
      </c>
      <c r="H86" s="616">
        <f t="shared" si="42"/>
        <v>600</v>
      </c>
      <c r="J86" s="617" t="s">
        <v>569</v>
      </c>
      <c r="K86" s="618">
        <v>50</v>
      </c>
      <c r="L86" s="618">
        <v>50</v>
      </c>
      <c r="M86" s="618">
        <v>50</v>
      </c>
      <c r="N86" s="618">
        <v>50</v>
      </c>
      <c r="O86" s="618">
        <v>50</v>
      </c>
      <c r="P86" s="618">
        <v>50</v>
      </c>
      <c r="Q86" s="618">
        <v>50</v>
      </c>
      <c r="R86" s="618">
        <v>50</v>
      </c>
      <c r="S86" s="618">
        <v>50</v>
      </c>
      <c r="T86" s="618">
        <v>50</v>
      </c>
      <c r="U86" s="618">
        <v>50</v>
      </c>
      <c r="V86" s="618">
        <v>50</v>
      </c>
      <c r="W86" s="616">
        <f t="shared" si="44"/>
        <v>600</v>
      </c>
      <c r="Y86" s="287"/>
      <c r="Z86" s="287"/>
    </row>
    <row r="87" spans="3:26" s="63" customFormat="1" ht="12" outlineLevel="1" x14ac:dyDescent="0.2">
      <c r="C87" s="64"/>
      <c r="D87" s="566" t="s">
        <v>323</v>
      </c>
      <c r="E87" s="567" t="s">
        <v>504</v>
      </c>
      <c r="F87" s="568">
        <v>1</v>
      </c>
      <c r="G87" s="618">
        <v>31000</v>
      </c>
      <c r="H87" s="616">
        <f t="shared" si="42"/>
        <v>31000</v>
      </c>
      <c r="J87" s="617" t="s">
        <v>569</v>
      </c>
      <c r="K87" s="618">
        <v>0</v>
      </c>
      <c r="L87" s="618">
        <v>4500</v>
      </c>
      <c r="M87" s="618">
        <v>0</v>
      </c>
      <c r="N87" s="618">
        <v>26500</v>
      </c>
      <c r="O87" s="618">
        <v>0</v>
      </c>
      <c r="P87" s="618">
        <v>0</v>
      </c>
      <c r="Q87" s="618">
        <v>0</v>
      </c>
      <c r="R87" s="618">
        <v>0</v>
      </c>
      <c r="S87" s="618">
        <v>0</v>
      </c>
      <c r="T87" s="618">
        <v>0</v>
      </c>
      <c r="U87" s="618">
        <v>0</v>
      </c>
      <c r="V87" s="618">
        <v>0</v>
      </c>
      <c r="W87" s="616">
        <f t="shared" si="44"/>
        <v>31000</v>
      </c>
      <c r="Y87" s="287"/>
      <c r="Z87" s="287"/>
    </row>
    <row r="88" spans="3:26" s="63" customFormat="1" ht="12" outlineLevel="1" x14ac:dyDescent="0.2">
      <c r="C88" s="64"/>
      <c r="D88" s="566" t="s">
        <v>323</v>
      </c>
      <c r="E88" s="567" t="s">
        <v>572</v>
      </c>
      <c r="F88" s="568">
        <v>4</v>
      </c>
      <c r="G88" s="618">
        <v>300</v>
      </c>
      <c r="H88" s="616">
        <f t="shared" ref="H88" si="45">IF(J88="NO", F88*G88,SUM(J88:V88))</f>
        <v>1200</v>
      </c>
      <c r="J88" s="617" t="s">
        <v>569</v>
      </c>
      <c r="K88" s="618">
        <v>0</v>
      </c>
      <c r="L88" s="618">
        <v>300</v>
      </c>
      <c r="M88" s="618">
        <v>0</v>
      </c>
      <c r="N88" s="618">
        <v>0</v>
      </c>
      <c r="O88" s="618">
        <v>300</v>
      </c>
      <c r="P88" s="618">
        <v>0</v>
      </c>
      <c r="Q88" s="618">
        <v>0</v>
      </c>
      <c r="R88" s="618">
        <v>300</v>
      </c>
      <c r="S88" s="618">
        <v>0</v>
      </c>
      <c r="T88" s="618">
        <v>0</v>
      </c>
      <c r="U88" s="618">
        <v>300</v>
      </c>
      <c r="V88" s="618">
        <v>0</v>
      </c>
      <c r="W88" s="616">
        <f t="shared" ref="W88" si="46">SUM(K88:V88)</f>
        <v>1200</v>
      </c>
      <c r="Y88" s="287"/>
      <c r="Z88" s="287"/>
    </row>
    <row r="89" spans="3:26" s="63" customFormat="1" ht="12" outlineLevel="1" x14ac:dyDescent="0.2">
      <c r="C89" s="64"/>
      <c r="D89" s="566" t="s">
        <v>323</v>
      </c>
      <c r="E89" s="567" t="s">
        <v>505</v>
      </c>
      <c r="F89" s="568">
        <v>2</v>
      </c>
      <c r="G89" s="618">
        <v>1200</v>
      </c>
      <c r="H89" s="616">
        <f t="shared" si="42"/>
        <v>2400</v>
      </c>
      <c r="J89" s="617" t="s">
        <v>569</v>
      </c>
      <c r="K89" s="618">
        <v>0</v>
      </c>
      <c r="L89" s="618">
        <v>1200</v>
      </c>
      <c r="M89" s="618">
        <v>0</v>
      </c>
      <c r="N89" s="618">
        <v>0</v>
      </c>
      <c r="O89" s="618">
        <v>0</v>
      </c>
      <c r="P89" s="618">
        <v>0</v>
      </c>
      <c r="Q89" s="618">
        <v>1200</v>
      </c>
      <c r="R89" s="618">
        <v>0</v>
      </c>
      <c r="S89" s="618">
        <v>0</v>
      </c>
      <c r="T89" s="618">
        <v>0</v>
      </c>
      <c r="U89" s="618">
        <v>0</v>
      </c>
      <c r="V89" s="618">
        <v>0</v>
      </c>
      <c r="W89" s="616">
        <f t="shared" si="44"/>
        <v>2400</v>
      </c>
      <c r="Y89" s="287"/>
      <c r="Z89" s="287"/>
    </row>
    <row r="90" spans="3:26" s="63" customFormat="1" ht="12" outlineLevel="1" x14ac:dyDescent="0.2">
      <c r="C90" s="64"/>
      <c r="D90" s="566" t="s">
        <v>323</v>
      </c>
      <c r="E90" s="567" t="s">
        <v>623</v>
      </c>
      <c r="F90" s="568">
        <v>2</v>
      </c>
      <c r="G90" s="618">
        <v>750</v>
      </c>
      <c r="H90" s="616">
        <f t="shared" si="42"/>
        <v>1500</v>
      </c>
      <c r="J90" s="617" t="s">
        <v>569</v>
      </c>
      <c r="K90" s="618">
        <v>0</v>
      </c>
      <c r="L90" s="618">
        <v>0</v>
      </c>
      <c r="M90" s="618">
        <v>750</v>
      </c>
      <c r="N90" s="618">
        <v>0</v>
      </c>
      <c r="O90" s="618">
        <v>0</v>
      </c>
      <c r="P90" s="618">
        <v>0</v>
      </c>
      <c r="Q90" s="618">
        <v>750</v>
      </c>
      <c r="R90" s="618">
        <v>0</v>
      </c>
      <c r="S90" s="618">
        <v>0</v>
      </c>
      <c r="T90" s="618">
        <v>0</v>
      </c>
      <c r="U90" s="618">
        <v>0</v>
      </c>
      <c r="V90" s="618">
        <v>0</v>
      </c>
      <c r="W90" s="616">
        <f t="shared" si="44"/>
        <v>1500</v>
      </c>
      <c r="Y90" s="287"/>
      <c r="Z90" s="287"/>
    </row>
    <row r="91" spans="3:26" s="63" customFormat="1" ht="12" outlineLevel="1" x14ac:dyDescent="0.2">
      <c r="C91" s="64"/>
      <c r="D91" s="566" t="s">
        <v>323</v>
      </c>
      <c r="E91" s="567" t="s">
        <v>626</v>
      </c>
      <c r="F91" s="568">
        <v>5</v>
      </c>
      <c r="G91" s="618">
        <v>900</v>
      </c>
      <c r="H91" s="616">
        <f t="shared" ref="H91:H92" si="47">IF(J91="NO", F91*G91,SUM(J91:V91))</f>
        <v>4500</v>
      </c>
      <c r="J91" s="617" t="s">
        <v>569</v>
      </c>
      <c r="K91" s="618">
        <v>0</v>
      </c>
      <c r="L91" s="618">
        <v>0</v>
      </c>
      <c r="M91" s="618">
        <v>1800</v>
      </c>
      <c r="N91" s="618">
        <v>0</v>
      </c>
      <c r="O91" s="618">
        <v>0</v>
      </c>
      <c r="P91" s="618">
        <v>0</v>
      </c>
      <c r="Q91" s="618">
        <v>2700</v>
      </c>
      <c r="R91" s="618">
        <v>0</v>
      </c>
      <c r="S91" s="618">
        <v>0</v>
      </c>
      <c r="T91" s="618">
        <v>0</v>
      </c>
      <c r="U91" s="618">
        <v>0</v>
      </c>
      <c r="V91" s="618">
        <v>0</v>
      </c>
      <c r="W91" s="616">
        <f t="shared" ref="W91:W92" si="48">SUM(K91:V91)</f>
        <v>4500</v>
      </c>
      <c r="Y91" s="287"/>
      <c r="Z91" s="287"/>
    </row>
    <row r="92" spans="3:26" s="63" customFormat="1" ht="12" outlineLevel="1" x14ac:dyDescent="0.2">
      <c r="C92" s="64"/>
      <c r="D92" s="566" t="s">
        <v>323</v>
      </c>
      <c r="E92" s="567" t="s">
        <v>624</v>
      </c>
      <c r="F92" s="568">
        <v>2</v>
      </c>
      <c r="G92" s="618">
        <v>900</v>
      </c>
      <c r="H92" s="616">
        <f t="shared" si="47"/>
        <v>1800</v>
      </c>
      <c r="J92" s="617" t="s">
        <v>569</v>
      </c>
      <c r="K92" s="618">
        <v>0</v>
      </c>
      <c r="L92" s="618">
        <v>0</v>
      </c>
      <c r="M92" s="618">
        <v>900</v>
      </c>
      <c r="N92" s="618">
        <v>0</v>
      </c>
      <c r="O92" s="618">
        <v>0</v>
      </c>
      <c r="P92" s="618">
        <v>0</v>
      </c>
      <c r="Q92" s="618">
        <v>900</v>
      </c>
      <c r="R92" s="618">
        <v>0</v>
      </c>
      <c r="S92" s="618">
        <v>0</v>
      </c>
      <c r="T92" s="618">
        <v>0</v>
      </c>
      <c r="U92" s="618">
        <v>0</v>
      </c>
      <c r="V92" s="618">
        <v>0</v>
      </c>
      <c r="W92" s="616">
        <f t="shared" si="48"/>
        <v>1800</v>
      </c>
      <c r="Y92" s="287"/>
      <c r="Z92" s="287"/>
    </row>
    <row r="93" spans="3:26" s="63" customFormat="1" ht="12" outlineLevel="1" x14ac:dyDescent="0.2">
      <c r="C93" s="64"/>
      <c r="D93" s="566" t="s">
        <v>323</v>
      </c>
      <c r="E93" s="567" t="s">
        <v>625</v>
      </c>
      <c r="F93" s="568">
        <v>2</v>
      </c>
      <c r="G93" s="618">
        <v>150</v>
      </c>
      <c r="H93" s="616">
        <f t="shared" si="42"/>
        <v>300</v>
      </c>
      <c r="J93" s="617" t="s">
        <v>569</v>
      </c>
      <c r="K93" s="618">
        <v>0</v>
      </c>
      <c r="L93" s="618">
        <v>0</v>
      </c>
      <c r="M93" s="618">
        <v>150</v>
      </c>
      <c r="N93" s="618">
        <v>0</v>
      </c>
      <c r="O93" s="618">
        <v>0</v>
      </c>
      <c r="P93" s="618">
        <v>0</v>
      </c>
      <c r="Q93" s="618">
        <v>150</v>
      </c>
      <c r="R93" s="618">
        <v>0</v>
      </c>
      <c r="S93" s="618">
        <v>0</v>
      </c>
      <c r="T93" s="618">
        <v>0</v>
      </c>
      <c r="U93" s="618">
        <v>0</v>
      </c>
      <c r="V93" s="618">
        <v>0</v>
      </c>
      <c r="W93" s="616">
        <f t="shared" si="44"/>
        <v>300</v>
      </c>
      <c r="Y93" s="287"/>
      <c r="Z93" s="287"/>
    </row>
    <row r="94" spans="3:26" s="63" customFormat="1" ht="12" outlineLevel="1" x14ac:dyDescent="0.2">
      <c r="C94" s="64"/>
      <c r="D94" s="566" t="s">
        <v>323</v>
      </c>
      <c r="E94" s="567" t="s">
        <v>506</v>
      </c>
      <c r="F94" s="568">
        <v>1</v>
      </c>
      <c r="G94" s="618">
        <v>600</v>
      </c>
      <c r="H94" s="616">
        <f t="shared" si="42"/>
        <v>600</v>
      </c>
      <c r="J94" s="617" t="s">
        <v>569</v>
      </c>
      <c r="K94" s="618">
        <v>0</v>
      </c>
      <c r="L94" s="618">
        <v>0</v>
      </c>
      <c r="M94" s="618">
        <v>0</v>
      </c>
      <c r="N94" s="618">
        <v>0</v>
      </c>
      <c r="O94" s="618">
        <v>0</v>
      </c>
      <c r="P94" s="618">
        <v>0</v>
      </c>
      <c r="Q94" s="618">
        <v>0</v>
      </c>
      <c r="R94" s="618">
        <v>0</v>
      </c>
      <c r="S94" s="618">
        <v>0</v>
      </c>
      <c r="T94" s="618">
        <v>0</v>
      </c>
      <c r="U94" s="618">
        <v>600</v>
      </c>
      <c r="V94" s="618">
        <v>0</v>
      </c>
      <c r="W94" s="616">
        <f t="shared" si="44"/>
        <v>600</v>
      </c>
      <c r="Y94" s="287"/>
      <c r="Z94" s="287"/>
    </row>
    <row r="95" spans="3:26" s="63" customFormat="1" ht="12" outlineLevel="1" x14ac:dyDescent="0.2">
      <c r="C95" s="64"/>
      <c r="D95" s="566" t="s">
        <v>323</v>
      </c>
      <c r="E95" s="567" t="s">
        <v>507</v>
      </c>
      <c r="F95" s="568">
        <v>1</v>
      </c>
      <c r="G95" s="618">
        <v>500</v>
      </c>
      <c r="H95" s="616">
        <f t="shared" si="42"/>
        <v>500</v>
      </c>
      <c r="J95" s="617" t="s">
        <v>569</v>
      </c>
      <c r="K95" s="618">
        <v>0</v>
      </c>
      <c r="L95" s="618">
        <v>0</v>
      </c>
      <c r="M95" s="618">
        <v>0</v>
      </c>
      <c r="N95" s="618">
        <v>0</v>
      </c>
      <c r="O95" s="618">
        <v>0</v>
      </c>
      <c r="P95" s="618">
        <v>0</v>
      </c>
      <c r="Q95" s="618">
        <v>500</v>
      </c>
      <c r="R95" s="618">
        <v>0</v>
      </c>
      <c r="S95" s="618">
        <v>0</v>
      </c>
      <c r="T95" s="618">
        <v>0</v>
      </c>
      <c r="U95" s="618">
        <v>0</v>
      </c>
      <c r="V95" s="618">
        <v>0</v>
      </c>
      <c r="W95" s="616">
        <f t="shared" si="44"/>
        <v>500</v>
      </c>
      <c r="Y95" s="287"/>
      <c r="Z95" s="287"/>
    </row>
    <row r="96" spans="3:26" s="63" customFormat="1" ht="12" outlineLevel="1" x14ac:dyDescent="0.2">
      <c r="C96" s="64"/>
      <c r="D96" s="566" t="s">
        <v>323</v>
      </c>
      <c r="E96" s="567" t="s">
        <v>508</v>
      </c>
      <c r="F96" s="568">
        <v>1</v>
      </c>
      <c r="G96" s="618">
        <v>900</v>
      </c>
      <c r="H96" s="616">
        <f t="shared" si="42"/>
        <v>900</v>
      </c>
      <c r="J96" s="617" t="s">
        <v>569</v>
      </c>
      <c r="K96" s="618">
        <v>0</v>
      </c>
      <c r="L96" s="618">
        <v>0</v>
      </c>
      <c r="M96" s="618">
        <v>0</v>
      </c>
      <c r="N96" s="618">
        <v>0</v>
      </c>
      <c r="O96" s="618">
        <v>0</v>
      </c>
      <c r="P96" s="618">
        <v>0</v>
      </c>
      <c r="Q96" s="618">
        <v>900</v>
      </c>
      <c r="R96" s="618">
        <v>0</v>
      </c>
      <c r="S96" s="618">
        <v>0</v>
      </c>
      <c r="T96" s="618">
        <v>0</v>
      </c>
      <c r="U96" s="618">
        <v>0</v>
      </c>
      <c r="V96" s="618">
        <v>0</v>
      </c>
      <c r="W96" s="616">
        <f t="shared" si="44"/>
        <v>900</v>
      </c>
      <c r="Y96" s="287"/>
      <c r="Z96" s="287"/>
    </row>
    <row r="97" spans="3:26" s="63" customFormat="1" ht="12" outlineLevel="1" x14ac:dyDescent="0.2">
      <c r="C97" s="64"/>
      <c r="D97" s="566" t="s">
        <v>323</v>
      </c>
      <c r="E97" s="567" t="s">
        <v>509</v>
      </c>
      <c r="F97" s="568">
        <v>1</v>
      </c>
      <c r="G97" s="618">
        <v>900</v>
      </c>
      <c r="H97" s="616">
        <f t="shared" si="42"/>
        <v>900</v>
      </c>
      <c r="J97" s="617" t="s">
        <v>569</v>
      </c>
      <c r="K97" s="618">
        <v>0</v>
      </c>
      <c r="L97" s="618">
        <v>0</v>
      </c>
      <c r="M97" s="618">
        <v>0</v>
      </c>
      <c r="N97" s="618">
        <v>0</v>
      </c>
      <c r="O97" s="618">
        <v>0</v>
      </c>
      <c r="P97" s="618">
        <v>0</v>
      </c>
      <c r="Q97" s="618">
        <v>0</v>
      </c>
      <c r="R97" s="618">
        <v>0</v>
      </c>
      <c r="S97" s="618">
        <v>0</v>
      </c>
      <c r="T97" s="618">
        <v>0</v>
      </c>
      <c r="U97" s="618">
        <v>900</v>
      </c>
      <c r="V97" s="618">
        <v>0</v>
      </c>
      <c r="W97" s="616">
        <f t="shared" si="44"/>
        <v>900</v>
      </c>
      <c r="Y97" s="287"/>
      <c r="Z97" s="287"/>
    </row>
    <row r="98" spans="3:26" s="63" customFormat="1" ht="12" outlineLevel="1" x14ac:dyDescent="0.2">
      <c r="C98" s="64"/>
      <c r="D98" s="566" t="s">
        <v>323</v>
      </c>
      <c r="E98" s="567" t="s">
        <v>627</v>
      </c>
      <c r="F98" s="568">
        <v>10</v>
      </c>
      <c r="G98" s="618">
        <v>150</v>
      </c>
      <c r="H98" s="616">
        <f t="shared" si="42"/>
        <v>1500</v>
      </c>
      <c r="J98" s="617" t="s">
        <v>569</v>
      </c>
      <c r="K98" s="618">
        <v>0</v>
      </c>
      <c r="L98" s="618">
        <v>0</v>
      </c>
      <c r="M98" s="618">
        <v>0</v>
      </c>
      <c r="N98" s="618">
        <v>0</v>
      </c>
      <c r="O98" s="618">
        <v>750</v>
      </c>
      <c r="P98" s="618">
        <v>0</v>
      </c>
      <c r="Q98" s="618">
        <v>0</v>
      </c>
      <c r="R98" s="618">
        <v>0</v>
      </c>
      <c r="S98" s="618">
        <v>0</v>
      </c>
      <c r="T98" s="618">
        <v>750</v>
      </c>
      <c r="U98" s="618">
        <v>0</v>
      </c>
      <c r="V98" s="618">
        <v>0</v>
      </c>
      <c r="W98" s="616">
        <f t="shared" si="44"/>
        <v>1500</v>
      </c>
      <c r="Y98" s="287"/>
      <c r="Z98" s="287"/>
    </row>
    <row r="99" spans="3:26" s="63" customFormat="1" ht="12" outlineLevel="1" x14ac:dyDescent="0.2">
      <c r="C99" s="64"/>
      <c r="D99" s="566" t="s">
        <v>323</v>
      </c>
      <c r="E99" s="567" t="s">
        <v>628</v>
      </c>
      <c r="F99" s="568">
        <v>12</v>
      </c>
      <c r="G99" s="618">
        <v>50</v>
      </c>
      <c r="H99" s="616">
        <f t="shared" si="42"/>
        <v>600</v>
      </c>
      <c r="J99" s="617" t="s">
        <v>569</v>
      </c>
      <c r="K99" s="618">
        <v>50</v>
      </c>
      <c r="L99" s="618">
        <v>50</v>
      </c>
      <c r="M99" s="618">
        <v>50</v>
      </c>
      <c r="N99" s="618">
        <v>50</v>
      </c>
      <c r="O99" s="618">
        <v>50</v>
      </c>
      <c r="P99" s="618">
        <v>50</v>
      </c>
      <c r="Q99" s="618">
        <v>50</v>
      </c>
      <c r="R99" s="618">
        <v>50</v>
      </c>
      <c r="S99" s="618">
        <v>50</v>
      </c>
      <c r="T99" s="618">
        <v>50</v>
      </c>
      <c r="U99" s="618">
        <v>50</v>
      </c>
      <c r="V99" s="618">
        <v>50</v>
      </c>
      <c r="W99" s="616">
        <f t="shared" si="44"/>
        <v>600</v>
      </c>
      <c r="Y99" s="287"/>
      <c r="Z99" s="287"/>
    </row>
    <row r="100" spans="3:26" s="63" customFormat="1" ht="12" outlineLevel="1" x14ac:dyDescent="0.2">
      <c r="C100" s="64"/>
      <c r="D100" s="566" t="s">
        <v>323</v>
      </c>
      <c r="E100" s="567" t="s">
        <v>629</v>
      </c>
      <c r="F100" s="678">
        <v>4.5</v>
      </c>
      <c r="G100" s="618">
        <v>250</v>
      </c>
      <c r="H100" s="616">
        <f t="shared" si="42"/>
        <v>1125</v>
      </c>
      <c r="J100" s="617" t="s">
        <v>569</v>
      </c>
      <c r="K100" s="618">
        <v>0</v>
      </c>
      <c r="L100" s="618">
        <v>250</v>
      </c>
      <c r="M100" s="618">
        <v>0</v>
      </c>
      <c r="N100" s="618">
        <v>250</v>
      </c>
      <c r="O100" s="618">
        <v>0</v>
      </c>
      <c r="P100" s="618">
        <v>0</v>
      </c>
      <c r="Q100" s="618">
        <v>0</v>
      </c>
      <c r="R100" s="618">
        <v>250</v>
      </c>
      <c r="S100" s="618">
        <v>0</v>
      </c>
      <c r="T100" s="618">
        <v>0</v>
      </c>
      <c r="U100" s="618">
        <v>250</v>
      </c>
      <c r="V100" s="618">
        <v>125</v>
      </c>
      <c r="W100" s="616">
        <f t="shared" si="44"/>
        <v>1125</v>
      </c>
      <c r="Y100" s="287"/>
      <c r="Z100" s="287"/>
    </row>
    <row r="101" spans="3:26" s="63" customFormat="1" ht="12" outlineLevel="1" x14ac:dyDescent="0.2">
      <c r="C101" s="64"/>
      <c r="D101" s="566" t="s">
        <v>323</v>
      </c>
      <c r="E101" s="567" t="s">
        <v>785</v>
      </c>
      <c r="F101" s="568">
        <v>1</v>
      </c>
      <c r="G101" s="618">
        <v>1750</v>
      </c>
      <c r="H101" s="616">
        <f t="shared" si="42"/>
        <v>1739.24</v>
      </c>
      <c r="J101" s="617" t="s">
        <v>569</v>
      </c>
      <c r="K101" s="618">
        <v>0</v>
      </c>
      <c r="L101" s="618">
        <v>0</v>
      </c>
      <c r="M101" s="618">
        <v>0</v>
      </c>
      <c r="N101" s="618">
        <v>0</v>
      </c>
      <c r="O101" s="618">
        <v>0</v>
      </c>
      <c r="P101" s="618">
        <v>0</v>
      </c>
      <c r="Q101" s="618">
        <v>0</v>
      </c>
      <c r="R101" s="618">
        <v>1739.24</v>
      </c>
      <c r="S101" s="618">
        <v>0</v>
      </c>
      <c r="T101" s="618">
        <v>0</v>
      </c>
      <c r="U101" s="618">
        <v>0</v>
      </c>
      <c r="V101" s="618">
        <v>0</v>
      </c>
      <c r="W101" s="616">
        <f t="shared" si="44"/>
        <v>1739.24</v>
      </c>
      <c r="Y101" s="287"/>
      <c r="Z101" s="287"/>
    </row>
    <row r="102" spans="3:26" s="63" customFormat="1" ht="12" outlineLevel="1" x14ac:dyDescent="0.2">
      <c r="C102" s="64"/>
      <c r="D102" s="566" t="s">
        <v>273</v>
      </c>
      <c r="E102" s="567" t="s">
        <v>630</v>
      </c>
      <c r="F102" s="568">
        <v>0</v>
      </c>
      <c r="G102" s="618">
        <v>2500</v>
      </c>
      <c r="H102" s="616">
        <f t="shared" si="42"/>
        <v>0</v>
      </c>
      <c r="J102" s="617" t="s">
        <v>564</v>
      </c>
      <c r="K102" s="618">
        <v>0</v>
      </c>
      <c r="L102" s="618">
        <v>0</v>
      </c>
      <c r="M102" s="618">
        <v>0</v>
      </c>
      <c r="N102" s="618">
        <v>0</v>
      </c>
      <c r="O102" s="618">
        <v>0</v>
      </c>
      <c r="P102" s="618">
        <v>0</v>
      </c>
      <c r="Q102" s="618">
        <v>0</v>
      </c>
      <c r="R102" s="618">
        <v>0</v>
      </c>
      <c r="S102" s="618">
        <v>0</v>
      </c>
      <c r="T102" s="618">
        <v>0</v>
      </c>
      <c r="U102" s="618">
        <v>0</v>
      </c>
      <c r="V102" s="618">
        <v>0</v>
      </c>
      <c r="W102" s="616">
        <f t="shared" si="44"/>
        <v>0</v>
      </c>
      <c r="Y102" s="287"/>
      <c r="Z102" s="287"/>
    </row>
    <row r="103" spans="3:26" s="63" customFormat="1" ht="12" outlineLevel="1" x14ac:dyDescent="0.2">
      <c r="C103" s="64"/>
      <c r="D103" s="566" t="s">
        <v>273</v>
      </c>
      <c r="E103" s="567" t="s">
        <v>631</v>
      </c>
      <c r="F103" s="568">
        <v>0</v>
      </c>
      <c r="G103" s="618">
        <v>4000</v>
      </c>
      <c r="H103" s="616">
        <f t="shared" ref="H103" si="49">IF(J103="NO", F103*G103,SUM(J103:V103))</f>
        <v>0</v>
      </c>
      <c r="J103" s="617" t="s">
        <v>564</v>
      </c>
      <c r="K103" s="618">
        <v>0</v>
      </c>
      <c r="L103" s="618">
        <v>0</v>
      </c>
      <c r="M103" s="618">
        <v>0</v>
      </c>
      <c r="N103" s="618">
        <v>0</v>
      </c>
      <c r="O103" s="618">
        <v>0</v>
      </c>
      <c r="P103" s="618">
        <v>0</v>
      </c>
      <c r="Q103" s="618">
        <v>0</v>
      </c>
      <c r="R103" s="618">
        <v>0</v>
      </c>
      <c r="S103" s="618">
        <v>0</v>
      </c>
      <c r="T103" s="618">
        <v>0</v>
      </c>
      <c r="U103" s="618">
        <v>0</v>
      </c>
      <c r="V103" s="618">
        <v>0</v>
      </c>
      <c r="W103" s="616">
        <f t="shared" ref="W103" si="50">SUM(K103:V103)</f>
        <v>0</v>
      </c>
      <c r="Y103" s="287"/>
      <c r="Z103" s="287"/>
    </row>
    <row r="104" spans="3:26" s="63" customFormat="1" ht="12" outlineLevel="1" x14ac:dyDescent="0.2">
      <c r="C104" s="64"/>
      <c r="D104" s="566" t="s">
        <v>258</v>
      </c>
      <c r="E104" s="567" t="s">
        <v>510</v>
      </c>
      <c r="F104" s="568">
        <v>0</v>
      </c>
      <c r="G104" s="618">
        <v>0</v>
      </c>
      <c r="H104" s="616">
        <f t="shared" si="42"/>
        <v>0</v>
      </c>
      <c r="J104" s="617" t="s">
        <v>569</v>
      </c>
      <c r="K104" s="618">
        <v>0</v>
      </c>
      <c r="L104" s="618">
        <v>0</v>
      </c>
      <c r="M104" s="618">
        <v>0</v>
      </c>
      <c r="N104" s="618">
        <v>0</v>
      </c>
      <c r="O104" s="618">
        <v>0</v>
      </c>
      <c r="P104" s="618">
        <v>0</v>
      </c>
      <c r="Q104" s="618">
        <v>0</v>
      </c>
      <c r="R104" s="618">
        <v>0</v>
      </c>
      <c r="S104" s="618">
        <v>0</v>
      </c>
      <c r="T104" s="618">
        <v>0</v>
      </c>
      <c r="U104" s="618">
        <v>0</v>
      </c>
      <c r="V104" s="618">
        <v>0</v>
      </c>
      <c r="W104" s="616">
        <f t="shared" si="44"/>
        <v>0</v>
      </c>
      <c r="Y104" s="287"/>
      <c r="Z104" s="287"/>
    </row>
    <row r="105" spans="3:26" s="63" customFormat="1" ht="12" outlineLevel="1" x14ac:dyDescent="0.2">
      <c r="C105" s="64"/>
      <c r="D105" s="566" t="s">
        <v>258</v>
      </c>
      <c r="E105" s="567"/>
      <c r="F105" s="568">
        <v>0</v>
      </c>
      <c r="G105" s="618">
        <v>0</v>
      </c>
      <c r="H105" s="616">
        <f t="shared" si="42"/>
        <v>0</v>
      </c>
      <c r="J105" s="617" t="s">
        <v>569</v>
      </c>
      <c r="K105" s="618">
        <v>0</v>
      </c>
      <c r="L105" s="618">
        <v>0</v>
      </c>
      <c r="M105" s="618">
        <v>0</v>
      </c>
      <c r="N105" s="618">
        <v>0</v>
      </c>
      <c r="O105" s="618">
        <v>0</v>
      </c>
      <c r="P105" s="618">
        <v>0</v>
      </c>
      <c r="Q105" s="618">
        <v>0</v>
      </c>
      <c r="R105" s="618">
        <v>0</v>
      </c>
      <c r="S105" s="618">
        <v>0</v>
      </c>
      <c r="T105" s="618">
        <v>0</v>
      </c>
      <c r="U105" s="618">
        <v>0</v>
      </c>
      <c r="V105" s="618">
        <v>0</v>
      </c>
      <c r="W105" s="616">
        <f t="shared" si="44"/>
        <v>0</v>
      </c>
      <c r="Y105" s="287"/>
      <c r="Z105" s="287"/>
    </row>
    <row r="106" spans="3:26" s="63" customFormat="1" ht="3.6" customHeight="1" outlineLevel="1" thickBot="1" x14ac:dyDescent="0.25">
      <c r="C106" s="64"/>
      <c r="D106" s="294"/>
      <c r="E106" s="299"/>
      <c r="F106" s="281"/>
      <c r="G106" s="563"/>
      <c r="H106" s="556"/>
      <c r="J106" s="619"/>
      <c r="K106" s="563"/>
      <c r="L106" s="563"/>
      <c r="M106" s="563"/>
      <c r="N106" s="563"/>
      <c r="O106" s="563"/>
      <c r="P106" s="563"/>
      <c r="Q106" s="563"/>
      <c r="R106" s="563"/>
      <c r="S106" s="563"/>
      <c r="T106" s="563"/>
      <c r="U106" s="563"/>
      <c r="V106" s="563"/>
      <c r="W106" s="556"/>
      <c r="Y106" s="287"/>
      <c r="Z106" s="287"/>
    </row>
    <row r="107" spans="3:26" s="63" customFormat="1" ht="12.75" thickBot="1" x14ac:dyDescent="0.25">
      <c r="C107" s="64"/>
      <c r="D107" s="292"/>
      <c r="E107" s="298"/>
      <c r="F107" s="282" t="str">
        <f>E83</f>
        <v>Other Professional Services</v>
      </c>
      <c r="G107" s="564">
        <f>C83</f>
        <v>6340</v>
      </c>
      <c r="H107" s="623">
        <f>SUBTOTAL(9,H84:H106)</f>
        <v>62514.239999999998</v>
      </c>
      <c r="J107" s="624"/>
      <c r="K107" s="622">
        <f t="shared" ref="K107:W107" si="51">SUBTOTAL(9,K84:K106)</f>
        <v>100</v>
      </c>
      <c r="L107" s="622">
        <f t="shared" si="51"/>
        <v>6350</v>
      </c>
      <c r="M107" s="622">
        <f t="shared" si="51"/>
        <v>3700</v>
      </c>
      <c r="N107" s="622">
        <f t="shared" si="51"/>
        <v>26850</v>
      </c>
      <c r="O107" s="622">
        <f t="shared" si="51"/>
        <v>1900</v>
      </c>
      <c r="P107" s="622">
        <f t="shared" si="51"/>
        <v>100</v>
      </c>
      <c r="Q107" s="622">
        <f t="shared" si="51"/>
        <v>7200</v>
      </c>
      <c r="R107" s="622">
        <f t="shared" si="51"/>
        <v>2389.2399999999998</v>
      </c>
      <c r="S107" s="622">
        <f t="shared" si="51"/>
        <v>100</v>
      </c>
      <c r="T107" s="622">
        <f t="shared" si="51"/>
        <v>850</v>
      </c>
      <c r="U107" s="622">
        <f t="shared" si="51"/>
        <v>2550</v>
      </c>
      <c r="V107" s="622">
        <f t="shared" si="51"/>
        <v>10425</v>
      </c>
      <c r="W107" s="623">
        <f t="shared" si="51"/>
        <v>62514.239999999998</v>
      </c>
      <c r="X107" s="63" t="str">
        <f>IF(H107=W107,"OK","Error")</f>
        <v>OK</v>
      </c>
      <c r="Y107" s="287">
        <v>0</v>
      </c>
      <c r="Z107" s="287">
        <f>H107-Y107</f>
        <v>62514.239999999998</v>
      </c>
    </row>
    <row r="108" spans="3:26" s="63" customFormat="1" ht="12" outlineLevel="1" x14ac:dyDescent="0.2">
      <c r="C108" s="64"/>
      <c r="D108" s="292"/>
      <c r="E108" s="298"/>
      <c r="F108" s="279"/>
      <c r="G108" s="561"/>
      <c r="H108" s="553"/>
      <c r="J108" s="613"/>
      <c r="K108" s="561"/>
      <c r="L108" s="561"/>
      <c r="M108" s="561"/>
      <c r="N108" s="561"/>
      <c r="O108" s="561"/>
      <c r="P108" s="561"/>
      <c r="Q108" s="561"/>
      <c r="R108" s="561"/>
      <c r="S108" s="561"/>
      <c r="T108" s="561"/>
      <c r="U108" s="561"/>
      <c r="V108" s="561"/>
      <c r="W108" s="553"/>
      <c r="Y108" s="287"/>
      <c r="Z108" s="287"/>
    </row>
    <row r="109" spans="3:26" s="63" customFormat="1" ht="12" outlineLevel="1" x14ac:dyDescent="0.2">
      <c r="C109" s="670">
        <v>6345</v>
      </c>
      <c r="D109" s="292"/>
      <c r="E109" s="298" t="s">
        <v>325</v>
      </c>
      <c r="F109" s="279"/>
      <c r="G109" s="561"/>
      <c r="H109" s="553"/>
      <c r="J109" s="613"/>
      <c r="K109" s="561"/>
      <c r="L109" s="561"/>
      <c r="M109" s="561"/>
      <c r="N109" s="561"/>
      <c r="O109" s="561"/>
      <c r="P109" s="561"/>
      <c r="Q109" s="561"/>
      <c r="R109" s="561"/>
      <c r="S109" s="561"/>
      <c r="T109" s="561"/>
      <c r="U109" s="561"/>
      <c r="V109" s="561"/>
      <c r="W109" s="553"/>
      <c r="Y109" s="287"/>
      <c r="Z109" s="287"/>
    </row>
    <row r="110" spans="3:26" s="63" customFormat="1" ht="12" outlineLevel="1" x14ac:dyDescent="0.2">
      <c r="C110" s="64"/>
      <c r="D110" s="566" t="s">
        <v>269</v>
      </c>
      <c r="E110" s="567" t="s">
        <v>663</v>
      </c>
      <c r="F110" s="568">
        <v>12</v>
      </c>
      <c r="G110" s="618">
        <v>1500</v>
      </c>
      <c r="H110" s="616">
        <f>IF(J110="NO", F110*G110,SUM(J110:V110))</f>
        <v>18000</v>
      </c>
      <c r="J110" s="617" t="s">
        <v>569</v>
      </c>
      <c r="K110" s="618">
        <v>1500</v>
      </c>
      <c r="L110" s="618">
        <v>1500</v>
      </c>
      <c r="M110" s="618">
        <v>1500</v>
      </c>
      <c r="N110" s="618">
        <v>1500</v>
      </c>
      <c r="O110" s="618">
        <v>1500</v>
      </c>
      <c r="P110" s="618">
        <v>1500</v>
      </c>
      <c r="Q110" s="618">
        <v>1500</v>
      </c>
      <c r="R110" s="618">
        <v>1500</v>
      </c>
      <c r="S110" s="618">
        <v>1500</v>
      </c>
      <c r="T110" s="618">
        <v>1500</v>
      </c>
      <c r="U110" s="618">
        <v>1500</v>
      </c>
      <c r="V110" s="618">
        <v>1500</v>
      </c>
      <c r="W110" s="616">
        <f>SUM(K110:V110)</f>
        <v>18000</v>
      </c>
      <c r="Y110" s="287"/>
      <c r="Z110" s="287"/>
    </row>
    <row r="111" spans="3:26" s="63" customFormat="1" ht="12" outlineLevel="1" x14ac:dyDescent="0.2">
      <c r="C111" s="64"/>
      <c r="D111" s="566" t="s">
        <v>269</v>
      </c>
      <c r="E111" s="567" t="s">
        <v>662</v>
      </c>
      <c r="F111" s="568">
        <v>2</v>
      </c>
      <c r="G111" s="618">
        <v>150</v>
      </c>
      <c r="H111" s="616">
        <f>IF(J111="NO", F111*G111,SUM(J111:V111))</f>
        <v>0</v>
      </c>
      <c r="J111" s="617" t="s">
        <v>569</v>
      </c>
      <c r="K111" s="618">
        <v>0</v>
      </c>
      <c r="L111" s="618">
        <v>0</v>
      </c>
      <c r="M111" s="618">
        <v>0</v>
      </c>
      <c r="N111" s="618">
        <v>0</v>
      </c>
      <c r="O111" s="618">
        <v>0</v>
      </c>
      <c r="P111" s="618">
        <v>0</v>
      </c>
      <c r="Q111" s="618">
        <v>0</v>
      </c>
      <c r="R111" s="618">
        <v>0</v>
      </c>
      <c r="S111" s="618">
        <v>0</v>
      </c>
      <c r="T111" s="618">
        <v>0</v>
      </c>
      <c r="U111" s="618">
        <v>0</v>
      </c>
      <c r="V111" s="618">
        <v>0</v>
      </c>
      <c r="W111" s="616">
        <f>SUM(K111:V111)</f>
        <v>0</v>
      </c>
      <c r="Y111" s="287"/>
      <c r="Z111" s="287"/>
    </row>
    <row r="112" spans="3:26" s="63" customFormat="1" ht="12" outlineLevel="1" x14ac:dyDescent="0.2">
      <c r="C112" s="64"/>
      <c r="D112" s="566" t="s">
        <v>269</v>
      </c>
      <c r="E112" s="567" t="s">
        <v>661</v>
      </c>
      <c r="F112" s="568">
        <v>1</v>
      </c>
      <c r="G112" s="618">
        <v>2400</v>
      </c>
      <c r="H112" s="616">
        <f>IF(J112="NO", F112*G112,SUM(J112:V112))</f>
        <v>2400</v>
      </c>
      <c r="J112" s="617" t="s">
        <v>569</v>
      </c>
      <c r="K112" s="618">
        <v>0</v>
      </c>
      <c r="L112" s="618">
        <v>0</v>
      </c>
      <c r="M112" s="618">
        <v>2400</v>
      </c>
      <c r="N112" s="618">
        <v>0</v>
      </c>
      <c r="O112" s="618">
        <v>0</v>
      </c>
      <c r="P112" s="618">
        <v>0</v>
      </c>
      <c r="Q112" s="618">
        <v>0</v>
      </c>
      <c r="R112" s="618">
        <v>0</v>
      </c>
      <c r="S112" s="618">
        <v>0</v>
      </c>
      <c r="T112" s="618">
        <v>0</v>
      </c>
      <c r="U112" s="618">
        <v>0</v>
      </c>
      <c r="V112" s="618">
        <v>0</v>
      </c>
      <c r="W112" s="616">
        <f>SUM(K112:V112)</f>
        <v>2400</v>
      </c>
      <c r="Y112" s="287"/>
      <c r="Z112" s="287"/>
    </row>
    <row r="113" spans="3:26" s="63" customFormat="1" ht="12" outlineLevel="1" x14ac:dyDescent="0.2">
      <c r="C113" s="64"/>
      <c r="D113" s="566" t="s">
        <v>269</v>
      </c>
      <c r="E113" s="567" t="s">
        <v>660</v>
      </c>
      <c r="F113" s="568">
        <v>12</v>
      </c>
      <c r="G113" s="618">
        <v>125</v>
      </c>
      <c r="H113" s="616">
        <f t="shared" ref="H113:H116" si="52">IF(J113="NO", F113*G113,SUM(J113:V113))</f>
        <v>1500</v>
      </c>
      <c r="J113" s="617" t="s">
        <v>569</v>
      </c>
      <c r="K113" s="618">
        <v>125</v>
      </c>
      <c r="L113" s="618">
        <v>125</v>
      </c>
      <c r="M113" s="618">
        <v>125</v>
      </c>
      <c r="N113" s="618">
        <v>125</v>
      </c>
      <c r="O113" s="618">
        <v>125</v>
      </c>
      <c r="P113" s="618">
        <v>125</v>
      </c>
      <c r="Q113" s="618">
        <v>125</v>
      </c>
      <c r="R113" s="618">
        <v>125</v>
      </c>
      <c r="S113" s="618">
        <v>125</v>
      </c>
      <c r="T113" s="618">
        <v>125</v>
      </c>
      <c r="U113" s="618">
        <v>125</v>
      </c>
      <c r="V113" s="618">
        <v>125</v>
      </c>
      <c r="W113" s="616">
        <f t="shared" ref="W113:W116" si="53">SUM(K113:V113)</f>
        <v>1500</v>
      </c>
      <c r="Y113" s="287"/>
      <c r="Z113" s="287"/>
    </row>
    <row r="114" spans="3:26" s="63" customFormat="1" ht="12" outlineLevel="1" x14ac:dyDescent="0.2">
      <c r="C114" s="64"/>
      <c r="D114" s="680" t="s">
        <v>269</v>
      </c>
      <c r="E114" s="681" t="s">
        <v>807</v>
      </c>
      <c r="F114" s="682">
        <v>4</v>
      </c>
      <c r="G114" s="618">
        <v>125</v>
      </c>
      <c r="H114" s="616">
        <f t="shared" ref="H114" si="54">IF(J114="NO", F114*G114,SUM(J114:V114))</f>
        <v>0</v>
      </c>
      <c r="J114" s="617" t="s">
        <v>569</v>
      </c>
      <c r="K114" s="618">
        <v>0</v>
      </c>
      <c r="L114" s="618">
        <v>0</v>
      </c>
      <c r="M114" s="618">
        <v>0</v>
      </c>
      <c r="N114" s="618">
        <v>0</v>
      </c>
      <c r="O114" s="618">
        <v>0</v>
      </c>
      <c r="P114" s="618">
        <v>0</v>
      </c>
      <c r="Q114" s="618">
        <v>0</v>
      </c>
      <c r="R114" s="618">
        <v>0</v>
      </c>
      <c r="S114" s="618">
        <v>0</v>
      </c>
      <c r="T114" s="618">
        <v>0</v>
      </c>
      <c r="U114" s="618">
        <v>0</v>
      </c>
      <c r="V114" s="618">
        <v>0</v>
      </c>
      <c r="W114" s="616">
        <f t="shared" ref="W114" si="55">SUM(K114:V114)</f>
        <v>0</v>
      </c>
      <c r="Y114" s="287"/>
      <c r="Z114" s="287"/>
    </row>
    <row r="115" spans="3:26" s="63" customFormat="1" ht="12" outlineLevel="1" x14ac:dyDescent="0.2">
      <c r="C115" s="64"/>
      <c r="D115" s="566" t="s">
        <v>258</v>
      </c>
      <c r="E115" s="567" t="s">
        <v>559</v>
      </c>
      <c r="F115" s="568">
        <v>0</v>
      </c>
      <c r="G115" s="618">
        <v>0</v>
      </c>
      <c r="H115" s="616">
        <f t="shared" si="52"/>
        <v>0</v>
      </c>
      <c r="J115" s="617" t="s">
        <v>564</v>
      </c>
      <c r="K115" s="618">
        <v>0</v>
      </c>
      <c r="L115" s="618">
        <v>0</v>
      </c>
      <c r="M115" s="618">
        <v>0</v>
      </c>
      <c r="N115" s="618">
        <v>0</v>
      </c>
      <c r="O115" s="618">
        <v>0</v>
      </c>
      <c r="P115" s="618">
        <v>0</v>
      </c>
      <c r="Q115" s="618">
        <v>0</v>
      </c>
      <c r="R115" s="618">
        <v>0</v>
      </c>
      <c r="S115" s="618">
        <v>0</v>
      </c>
      <c r="T115" s="618">
        <v>0</v>
      </c>
      <c r="U115" s="618">
        <v>0</v>
      </c>
      <c r="V115" s="618">
        <v>0</v>
      </c>
      <c r="W115" s="616">
        <f t="shared" si="53"/>
        <v>0</v>
      </c>
      <c r="Y115" s="287"/>
      <c r="Z115" s="287"/>
    </row>
    <row r="116" spans="3:26" s="63" customFormat="1" ht="12" outlineLevel="1" x14ac:dyDescent="0.2">
      <c r="C116" s="64"/>
      <c r="D116" s="566" t="s">
        <v>258</v>
      </c>
      <c r="E116" s="567"/>
      <c r="F116" s="568">
        <v>0</v>
      </c>
      <c r="G116" s="618">
        <v>0</v>
      </c>
      <c r="H116" s="616">
        <f t="shared" si="52"/>
        <v>0</v>
      </c>
      <c r="J116" s="617" t="s">
        <v>564</v>
      </c>
      <c r="K116" s="618">
        <v>0</v>
      </c>
      <c r="L116" s="618">
        <v>0</v>
      </c>
      <c r="M116" s="618">
        <v>0</v>
      </c>
      <c r="N116" s="618">
        <v>0</v>
      </c>
      <c r="O116" s="618">
        <v>0</v>
      </c>
      <c r="P116" s="618">
        <v>0</v>
      </c>
      <c r="Q116" s="618">
        <v>0</v>
      </c>
      <c r="R116" s="618">
        <v>0</v>
      </c>
      <c r="S116" s="618">
        <v>0</v>
      </c>
      <c r="T116" s="618">
        <v>0</v>
      </c>
      <c r="U116" s="618">
        <v>0</v>
      </c>
      <c r="V116" s="618">
        <v>0</v>
      </c>
      <c r="W116" s="616">
        <f t="shared" si="53"/>
        <v>0</v>
      </c>
      <c r="Y116" s="287"/>
      <c r="Z116" s="287"/>
    </row>
    <row r="117" spans="3:26" s="63" customFormat="1" ht="3.6" customHeight="1" outlineLevel="1" thickBot="1" x14ac:dyDescent="0.25">
      <c r="C117" s="64"/>
      <c r="D117" s="294"/>
      <c r="E117" s="299"/>
      <c r="F117" s="281"/>
      <c r="G117" s="563"/>
      <c r="H117" s="556"/>
      <c r="J117" s="619"/>
      <c r="K117" s="563"/>
      <c r="L117" s="563"/>
      <c r="M117" s="563"/>
      <c r="N117" s="563"/>
      <c r="O117" s="563"/>
      <c r="P117" s="563"/>
      <c r="Q117" s="563"/>
      <c r="R117" s="563"/>
      <c r="S117" s="563"/>
      <c r="T117" s="563"/>
      <c r="U117" s="563"/>
      <c r="V117" s="563"/>
      <c r="W117" s="556"/>
      <c r="Y117" s="287"/>
      <c r="Z117" s="287"/>
    </row>
    <row r="118" spans="3:26" s="63" customFormat="1" ht="12.75" thickBot="1" x14ac:dyDescent="0.25">
      <c r="C118" s="64"/>
      <c r="D118" s="292"/>
      <c r="E118" s="298"/>
      <c r="F118" s="282" t="str">
        <f>E109</f>
        <v>Marketing Services</v>
      </c>
      <c r="G118" s="564">
        <f>C109</f>
        <v>6345</v>
      </c>
      <c r="H118" s="623">
        <f>SUBTOTAL(9,H110:H117)</f>
        <v>21900</v>
      </c>
      <c r="J118" s="624"/>
      <c r="K118" s="622">
        <f t="shared" ref="K118:W118" si="56">SUBTOTAL(9,K110:K117)</f>
        <v>1625</v>
      </c>
      <c r="L118" s="622">
        <f t="shared" si="56"/>
        <v>1625</v>
      </c>
      <c r="M118" s="622">
        <f t="shared" si="56"/>
        <v>4025</v>
      </c>
      <c r="N118" s="622">
        <f t="shared" si="56"/>
        <v>1625</v>
      </c>
      <c r="O118" s="622">
        <f t="shared" si="56"/>
        <v>1625</v>
      </c>
      <c r="P118" s="622">
        <f t="shared" si="56"/>
        <v>1625</v>
      </c>
      <c r="Q118" s="622">
        <f t="shared" si="56"/>
        <v>1625</v>
      </c>
      <c r="R118" s="622">
        <f t="shared" si="56"/>
        <v>1625</v>
      </c>
      <c r="S118" s="622">
        <f t="shared" si="56"/>
        <v>1625</v>
      </c>
      <c r="T118" s="622">
        <f t="shared" si="56"/>
        <v>1625</v>
      </c>
      <c r="U118" s="622">
        <f t="shared" si="56"/>
        <v>1625</v>
      </c>
      <c r="V118" s="622">
        <f t="shared" si="56"/>
        <v>1625</v>
      </c>
      <c r="W118" s="623">
        <f t="shared" si="56"/>
        <v>21900</v>
      </c>
      <c r="X118" s="63" t="str">
        <f>IF(H118=W118,"OK","Error")</f>
        <v>OK</v>
      </c>
      <c r="Y118" s="287">
        <v>0</v>
      </c>
      <c r="Z118" s="287">
        <f>H118-Y118</f>
        <v>21900</v>
      </c>
    </row>
    <row r="119" spans="3:26" s="63" customFormat="1" ht="12" outlineLevel="1" x14ac:dyDescent="0.2">
      <c r="C119" s="64"/>
      <c r="D119" s="292"/>
      <c r="E119" s="298"/>
      <c r="F119" s="279"/>
      <c r="G119" s="561"/>
      <c r="H119" s="553"/>
      <c r="J119" s="613"/>
      <c r="K119" s="561"/>
      <c r="L119" s="561"/>
      <c r="M119" s="561"/>
      <c r="N119" s="561"/>
      <c r="O119" s="561"/>
      <c r="P119" s="561"/>
      <c r="Q119" s="561"/>
      <c r="R119" s="561"/>
      <c r="S119" s="561"/>
      <c r="T119" s="561"/>
      <c r="U119" s="561"/>
      <c r="V119" s="561"/>
      <c r="W119" s="553"/>
      <c r="Y119" s="287"/>
      <c r="Z119" s="287"/>
    </row>
    <row r="120" spans="3:26" s="63" customFormat="1" ht="12" outlineLevel="1" x14ac:dyDescent="0.2">
      <c r="C120" s="670">
        <v>6350</v>
      </c>
      <c r="D120" s="292"/>
      <c r="E120" s="298" t="s">
        <v>324</v>
      </c>
      <c r="F120" s="279"/>
      <c r="G120" s="561"/>
      <c r="H120" s="553"/>
      <c r="J120" s="613"/>
      <c r="K120" s="561"/>
      <c r="L120" s="561"/>
      <c r="M120" s="561"/>
      <c r="N120" s="561"/>
      <c r="O120" s="561"/>
      <c r="P120" s="561"/>
      <c r="Q120" s="561"/>
      <c r="R120" s="561"/>
      <c r="S120" s="561"/>
      <c r="T120" s="561"/>
      <c r="U120" s="561"/>
      <c r="V120" s="561"/>
      <c r="W120" s="553"/>
      <c r="Y120" s="287"/>
      <c r="Z120" s="287"/>
    </row>
    <row r="121" spans="3:26" s="63" customFormat="1" ht="12" outlineLevel="1" x14ac:dyDescent="0.2">
      <c r="C121" s="64"/>
      <c r="D121" s="566" t="s">
        <v>271</v>
      </c>
      <c r="E121" s="567" t="s">
        <v>665</v>
      </c>
      <c r="F121" s="568">
        <v>50</v>
      </c>
      <c r="G121" s="618">
        <v>100</v>
      </c>
      <c r="H121" s="616">
        <f t="shared" ref="H121:H123" si="57">IF(J121="NO", F121*G121,SUM(J121:V121))</f>
        <v>5000</v>
      </c>
      <c r="J121" s="617" t="s">
        <v>569</v>
      </c>
      <c r="K121" s="618">
        <v>0</v>
      </c>
      <c r="L121" s="618">
        <v>0</v>
      </c>
      <c r="M121" s="618">
        <v>750</v>
      </c>
      <c r="N121" s="618">
        <v>1250</v>
      </c>
      <c r="O121" s="618">
        <v>750</v>
      </c>
      <c r="P121" s="618">
        <v>0</v>
      </c>
      <c r="Q121" s="618">
        <v>500</v>
      </c>
      <c r="R121" s="618">
        <v>1000</v>
      </c>
      <c r="S121" s="618">
        <v>500</v>
      </c>
      <c r="T121" s="618">
        <v>0</v>
      </c>
      <c r="U121" s="618">
        <v>250</v>
      </c>
      <c r="V121" s="618">
        <v>0</v>
      </c>
      <c r="W121" s="616">
        <f t="shared" ref="W121:W123" si="58">SUM(K121:V121)</f>
        <v>5000</v>
      </c>
      <c r="Y121" s="287"/>
      <c r="Z121" s="287"/>
    </row>
    <row r="122" spans="3:26" s="63" customFormat="1" ht="12" outlineLevel="1" x14ac:dyDescent="0.2">
      <c r="C122" s="64"/>
      <c r="D122" s="566" t="s">
        <v>271</v>
      </c>
      <c r="E122" s="567" t="s">
        <v>664</v>
      </c>
      <c r="F122" s="568">
        <v>12</v>
      </c>
      <c r="G122" s="618">
        <v>100</v>
      </c>
      <c r="H122" s="616">
        <f t="shared" si="57"/>
        <v>1200</v>
      </c>
      <c r="J122" s="617" t="s">
        <v>569</v>
      </c>
      <c r="K122" s="618">
        <v>100</v>
      </c>
      <c r="L122" s="618">
        <v>100</v>
      </c>
      <c r="M122" s="618">
        <v>100</v>
      </c>
      <c r="N122" s="618">
        <v>100</v>
      </c>
      <c r="O122" s="618">
        <v>100</v>
      </c>
      <c r="P122" s="618">
        <v>100</v>
      </c>
      <c r="Q122" s="618">
        <v>100</v>
      </c>
      <c r="R122" s="618">
        <v>100</v>
      </c>
      <c r="S122" s="618">
        <v>100</v>
      </c>
      <c r="T122" s="618">
        <v>100</v>
      </c>
      <c r="U122" s="618">
        <v>100</v>
      </c>
      <c r="V122" s="618">
        <v>100</v>
      </c>
      <c r="W122" s="616">
        <f t="shared" si="58"/>
        <v>1200</v>
      </c>
      <c r="Y122" s="287"/>
      <c r="Z122" s="287"/>
    </row>
    <row r="123" spans="3:26" s="63" customFormat="1" ht="12" outlineLevel="1" x14ac:dyDescent="0.2">
      <c r="C123" s="64"/>
      <c r="D123" s="566" t="s">
        <v>258</v>
      </c>
      <c r="E123" s="567"/>
      <c r="F123" s="568">
        <v>0</v>
      </c>
      <c r="G123" s="618">
        <v>0</v>
      </c>
      <c r="H123" s="616">
        <f t="shared" si="57"/>
        <v>0</v>
      </c>
      <c r="J123" s="617" t="s">
        <v>564</v>
      </c>
      <c r="K123" s="618">
        <v>0</v>
      </c>
      <c r="L123" s="618">
        <v>0</v>
      </c>
      <c r="M123" s="618">
        <v>0</v>
      </c>
      <c r="N123" s="618">
        <v>0</v>
      </c>
      <c r="O123" s="618">
        <v>0</v>
      </c>
      <c r="P123" s="618">
        <v>0</v>
      </c>
      <c r="Q123" s="618">
        <v>0</v>
      </c>
      <c r="R123" s="618">
        <v>0</v>
      </c>
      <c r="S123" s="618">
        <v>0</v>
      </c>
      <c r="T123" s="618">
        <v>0</v>
      </c>
      <c r="U123" s="618">
        <v>0</v>
      </c>
      <c r="V123" s="618">
        <v>0</v>
      </c>
      <c r="W123" s="616">
        <f t="shared" si="58"/>
        <v>0</v>
      </c>
      <c r="Y123" s="287"/>
      <c r="Z123" s="287"/>
    </row>
    <row r="124" spans="3:26" s="63" customFormat="1" ht="3.6" customHeight="1" outlineLevel="1" thickBot="1" x14ac:dyDescent="0.25">
      <c r="C124" s="64"/>
      <c r="D124" s="294"/>
      <c r="E124" s="299"/>
      <c r="F124" s="281"/>
      <c r="G124" s="563"/>
      <c r="H124" s="556"/>
      <c r="J124" s="619"/>
      <c r="K124" s="563"/>
      <c r="L124" s="563"/>
      <c r="M124" s="563"/>
      <c r="N124" s="563"/>
      <c r="O124" s="563"/>
      <c r="P124" s="563"/>
      <c r="Q124" s="563"/>
      <c r="R124" s="563"/>
      <c r="S124" s="563"/>
      <c r="T124" s="563"/>
      <c r="U124" s="563"/>
      <c r="V124" s="563"/>
      <c r="W124" s="556"/>
      <c r="Y124" s="287"/>
      <c r="Z124" s="287"/>
    </row>
    <row r="125" spans="3:26" s="63" customFormat="1" ht="12.75" thickBot="1" x14ac:dyDescent="0.25">
      <c r="C125" s="64"/>
      <c r="D125" s="292"/>
      <c r="E125" s="298"/>
      <c r="F125" s="282" t="str">
        <f>E120</f>
        <v>Technical Services - Technology</v>
      </c>
      <c r="G125" s="564">
        <f>C120</f>
        <v>6350</v>
      </c>
      <c r="H125" s="623">
        <f>SUBTOTAL(9,H121:H124)</f>
        <v>6200</v>
      </c>
      <c r="J125" s="624"/>
      <c r="K125" s="622">
        <f t="shared" ref="K125:W125" si="59">SUBTOTAL(9,K121:K124)</f>
        <v>100</v>
      </c>
      <c r="L125" s="622">
        <f t="shared" si="59"/>
        <v>100</v>
      </c>
      <c r="M125" s="622">
        <f t="shared" si="59"/>
        <v>850</v>
      </c>
      <c r="N125" s="622">
        <f t="shared" si="59"/>
        <v>1350</v>
      </c>
      <c r="O125" s="622">
        <f t="shared" si="59"/>
        <v>850</v>
      </c>
      <c r="P125" s="622">
        <f t="shared" si="59"/>
        <v>100</v>
      </c>
      <c r="Q125" s="622">
        <f t="shared" si="59"/>
        <v>600</v>
      </c>
      <c r="R125" s="622">
        <f t="shared" si="59"/>
        <v>1100</v>
      </c>
      <c r="S125" s="622">
        <f t="shared" si="59"/>
        <v>600</v>
      </c>
      <c r="T125" s="622">
        <f t="shared" si="59"/>
        <v>100</v>
      </c>
      <c r="U125" s="622">
        <f t="shared" si="59"/>
        <v>350</v>
      </c>
      <c r="V125" s="622">
        <f t="shared" si="59"/>
        <v>100</v>
      </c>
      <c r="W125" s="623">
        <f t="shared" si="59"/>
        <v>6200</v>
      </c>
      <c r="X125" s="63" t="str">
        <f>IF(H125=W125,"OK","Error")</f>
        <v>OK</v>
      </c>
      <c r="Y125" s="287">
        <v>0</v>
      </c>
      <c r="Z125" s="287">
        <f>H125-Y125</f>
        <v>6200</v>
      </c>
    </row>
    <row r="126" spans="3:26" s="63" customFormat="1" ht="12" outlineLevel="1" x14ac:dyDescent="0.2">
      <c r="C126" s="64"/>
      <c r="D126" s="292"/>
      <c r="E126" s="298"/>
      <c r="F126" s="279"/>
      <c r="G126" s="561"/>
      <c r="H126" s="553"/>
      <c r="J126" s="613"/>
      <c r="K126" s="561"/>
      <c r="L126" s="561"/>
      <c r="M126" s="561"/>
      <c r="N126" s="561"/>
      <c r="O126" s="561"/>
      <c r="P126" s="561"/>
      <c r="Q126" s="561"/>
      <c r="R126" s="561"/>
      <c r="S126" s="561"/>
      <c r="T126" s="561"/>
      <c r="U126" s="561"/>
      <c r="V126" s="561"/>
      <c r="W126" s="553"/>
      <c r="Y126" s="287"/>
      <c r="Z126" s="287"/>
    </row>
    <row r="127" spans="3:26" s="63" customFormat="1" ht="12" outlineLevel="1" x14ac:dyDescent="0.2">
      <c r="C127" s="670">
        <v>6351</v>
      </c>
      <c r="D127" s="292"/>
      <c r="E127" s="298" t="s">
        <v>18</v>
      </c>
      <c r="F127" s="279"/>
      <c r="G127" s="561"/>
      <c r="H127" s="553"/>
      <c r="J127" s="613"/>
      <c r="K127" s="561"/>
      <c r="L127" s="561"/>
      <c r="M127" s="561"/>
      <c r="N127" s="561"/>
      <c r="O127" s="561"/>
      <c r="P127" s="561"/>
      <c r="Q127" s="561"/>
      <c r="R127" s="561"/>
      <c r="S127" s="561"/>
      <c r="T127" s="561"/>
      <c r="U127" s="561"/>
      <c r="V127" s="561"/>
      <c r="W127" s="553"/>
      <c r="Y127" s="287"/>
      <c r="Z127" s="287"/>
    </row>
    <row r="128" spans="3:26" s="63" customFormat="1" ht="12" outlineLevel="1" x14ac:dyDescent="0.2">
      <c r="C128" s="64"/>
      <c r="D128" s="566" t="s">
        <v>264</v>
      </c>
      <c r="E128" s="567" t="s">
        <v>666</v>
      </c>
      <c r="F128" s="568">
        <v>521</v>
      </c>
      <c r="G128" s="618">
        <v>7</v>
      </c>
      <c r="H128" s="616">
        <f t="shared" ref="H128:H138" si="60">IF(J128="NO", F128*G128,SUM(J128:V128))</f>
        <v>3647</v>
      </c>
      <c r="J128" s="617" t="s">
        <v>569</v>
      </c>
      <c r="K128" s="618">
        <v>0</v>
      </c>
      <c r="L128" s="618">
        <v>0</v>
      </c>
      <c r="M128" s="618">
        <v>0</v>
      </c>
      <c r="N128" s="618">
        <f>F128*G128</f>
        <v>3647</v>
      </c>
      <c r="O128" s="618">
        <v>0</v>
      </c>
      <c r="P128" s="618">
        <v>0</v>
      </c>
      <c r="Q128" s="618">
        <v>0</v>
      </c>
      <c r="R128" s="618">
        <v>0</v>
      </c>
      <c r="S128" s="618">
        <v>0</v>
      </c>
      <c r="T128" s="618">
        <v>0</v>
      </c>
      <c r="U128" s="618">
        <v>0</v>
      </c>
      <c r="V128" s="618">
        <v>0</v>
      </c>
      <c r="W128" s="616">
        <f t="shared" ref="W128:W138" si="61">SUM(K128:V128)</f>
        <v>3647</v>
      </c>
      <c r="Y128" s="287"/>
      <c r="Z128" s="287"/>
    </row>
    <row r="129" spans="3:26" s="63" customFormat="1" ht="12" outlineLevel="1" x14ac:dyDescent="0.2">
      <c r="C129" s="64"/>
      <c r="D129" s="566" t="s">
        <v>264</v>
      </c>
      <c r="E129" s="567" t="s">
        <v>670</v>
      </c>
      <c r="F129" s="568">
        <v>586</v>
      </c>
      <c r="G129" s="618">
        <v>12</v>
      </c>
      <c r="H129" s="616">
        <f t="shared" si="60"/>
        <v>7031.9999999999991</v>
      </c>
      <c r="J129" s="617" t="s">
        <v>569</v>
      </c>
      <c r="K129" s="618">
        <v>0</v>
      </c>
      <c r="L129" s="618">
        <v>0</v>
      </c>
      <c r="M129" s="618">
        <v>0</v>
      </c>
      <c r="N129" s="618">
        <f>F129*G129*0.96</f>
        <v>6750.7199999999993</v>
      </c>
      <c r="O129" s="618">
        <f>F129*G129*0.04</f>
        <v>281.28000000000003</v>
      </c>
      <c r="P129" s="618">
        <v>0</v>
      </c>
      <c r="Q129" s="618">
        <v>0</v>
      </c>
      <c r="R129" s="618">
        <v>0</v>
      </c>
      <c r="S129" s="618">
        <v>0</v>
      </c>
      <c r="T129" s="618">
        <v>0</v>
      </c>
      <c r="U129" s="618">
        <v>0</v>
      </c>
      <c r="V129" s="618">
        <v>0</v>
      </c>
      <c r="W129" s="616">
        <f t="shared" si="61"/>
        <v>7031.9999999999991</v>
      </c>
      <c r="Y129" s="287"/>
      <c r="Z129" s="287"/>
    </row>
    <row r="130" spans="3:26" s="63" customFormat="1" ht="12" outlineLevel="1" x14ac:dyDescent="0.2">
      <c r="C130" s="64"/>
      <c r="D130" s="566" t="s">
        <v>264</v>
      </c>
      <c r="E130" s="567" t="s">
        <v>671</v>
      </c>
      <c r="F130" s="568">
        <v>587</v>
      </c>
      <c r="G130" s="618">
        <v>12</v>
      </c>
      <c r="H130" s="616">
        <f t="shared" si="60"/>
        <v>7044</v>
      </c>
      <c r="J130" s="617" t="s">
        <v>569</v>
      </c>
      <c r="K130" s="618">
        <v>0</v>
      </c>
      <c r="L130" s="618">
        <v>0</v>
      </c>
      <c r="M130" s="618">
        <v>0</v>
      </c>
      <c r="N130" s="618">
        <f t="shared" ref="N130:N131" si="62">F130*G130*0.96</f>
        <v>6762.24</v>
      </c>
      <c r="O130" s="618">
        <f>F130*G130*0.04</f>
        <v>281.76</v>
      </c>
      <c r="P130" s="618">
        <v>0</v>
      </c>
      <c r="Q130" s="618">
        <v>0</v>
      </c>
      <c r="R130" s="618">
        <v>0</v>
      </c>
      <c r="S130" s="618">
        <v>0</v>
      </c>
      <c r="T130" s="618">
        <v>0</v>
      </c>
      <c r="U130" s="618">
        <v>0</v>
      </c>
      <c r="V130" s="618">
        <v>0</v>
      </c>
      <c r="W130" s="616">
        <f t="shared" si="61"/>
        <v>7044</v>
      </c>
      <c r="Y130" s="287"/>
      <c r="Z130" s="287"/>
    </row>
    <row r="131" spans="3:26" s="63" customFormat="1" ht="12" outlineLevel="1" x14ac:dyDescent="0.2">
      <c r="C131" s="64"/>
      <c r="D131" s="566" t="s">
        <v>264</v>
      </c>
      <c r="E131" s="567" t="s">
        <v>672</v>
      </c>
      <c r="F131" s="568">
        <v>590</v>
      </c>
      <c r="G131" s="618">
        <v>12</v>
      </c>
      <c r="H131" s="616">
        <f t="shared" si="60"/>
        <v>7080</v>
      </c>
      <c r="J131" s="617" t="s">
        <v>569</v>
      </c>
      <c r="K131" s="618">
        <v>0</v>
      </c>
      <c r="L131" s="618">
        <v>0</v>
      </c>
      <c r="M131" s="618">
        <v>0</v>
      </c>
      <c r="N131" s="618">
        <f t="shared" si="62"/>
        <v>6796.8</v>
      </c>
      <c r="O131" s="618">
        <f t="shared" ref="O131" si="63">F131*G131*0.04</f>
        <v>283.2</v>
      </c>
      <c r="P131" s="618">
        <v>0</v>
      </c>
      <c r="Q131" s="618">
        <v>0</v>
      </c>
      <c r="R131" s="618">
        <v>0</v>
      </c>
      <c r="S131" s="618">
        <v>0</v>
      </c>
      <c r="T131" s="618">
        <v>0</v>
      </c>
      <c r="U131" s="618">
        <v>0</v>
      </c>
      <c r="V131" s="618">
        <v>0</v>
      </c>
      <c r="W131" s="616">
        <f t="shared" si="61"/>
        <v>7080</v>
      </c>
      <c r="Y131" s="287"/>
      <c r="Z131" s="287"/>
    </row>
    <row r="132" spans="3:26" s="63" customFormat="1" ht="12" outlineLevel="1" x14ac:dyDescent="0.2">
      <c r="C132" s="64"/>
      <c r="D132" s="566" t="s">
        <v>264</v>
      </c>
      <c r="E132" s="567" t="s">
        <v>673</v>
      </c>
      <c r="F132" s="568">
        <v>81</v>
      </c>
      <c r="G132" s="618">
        <v>12</v>
      </c>
      <c r="H132" s="616">
        <f>IF(J132="NO", F132*G132,SUM(J132:V132))</f>
        <v>972</v>
      </c>
      <c r="J132" s="617" t="s">
        <v>569</v>
      </c>
      <c r="K132" s="618">
        <v>0</v>
      </c>
      <c r="L132" s="618">
        <v>0</v>
      </c>
      <c r="M132" s="618">
        <v>0</v>
      </c>
      <c r="N132" s="618">
        <v>0</v>
      </c>
      <c r="O132" s="618">
        <v>0</v>
      </c>
      <c r="P132" s="618">
        <v>0</v>
      </c>
      <c r="Q132" s="618">
        <v>0</v>
      </c>
      <c r="R132" s="618">
        <f>F132*G132</f>
        <v>972</v>
      </c>
      <c r="S132" s="618">
        <v>0</v>
      </c>
      <c r="T132" s="618">
        <v>0</v>
      </c>
      <c r="U132" s="618">
        <v>0</v>
      </c>
      <c r="V132" s="618">
        <v>0</v>
      </c>
      <c r="W132" s="616">
        <f t="shared" ref="W132:W134" si="64">SUM(K132:V132)</f>
        <v>972</v>
      </c>
      <c r="Y132" s="287"/>
      <c r="Z132" s="287"/>
    </row>
    <row r="133" spans="3:26" s="63" customFormat="1" ht="12" outlineLevel="1" x14ac:dyDescent="0.2">
      <c r="C133" s="64"/>
      <c r="D133" s="566" t="s">
        <v>264</v>
      </c>
      <c r="E133" s="567" t="s">
        <v>674</v>
      </c>
      <c r="F133" s="568">
        <v>81</v>
      </c>
      <c r="G133" s="618">
        <v>12</v>
      </c>
      <c r="H133" s="616">
        <f>IF(J133="NO", F133*G133,SUM(J133:V133))</f>
        <v>972</v>
      </c>
      <c r="J133" s="617" t="s">
        <v>569</v>
      </c>
      <c r="K133" s="618">
        <v>0</v>
      </c>
      <c r="L133" s="618">
        <v>0</v>
      </c>
      <c r="M133" s="618">
        <v>0</v>
      </c>
      <c r="N133" s="618">
        <v>0</v>
      </c>
      <c r="O133" s="618">
        <v>0</v>
      </c>
      <c r="P133" s="618">
        <v>0</v>
      </c>
      <c r="Q133" s="618">
        <v>0</v>
      </c>
      <c r="R133" s="618">
        <f t="shared" ref="R133" si="65">F133*G133</f>
        <v>972</v>
      </c>
      <c r="S133" s="618">
        <v>0</v>
      </c>
      <c r="T133" s="618">
        <v>0</v>
      </c>
      <c r="U133" s="618">
        <v>0</v>
      </c>
      <c r="V133" s="618">
        <v>0</v>
      </c>
      <c r="W133" s="616">
        <f t="shared" si="64"/>
        <v>972</v>
      </c>
      <c r="Y133" s="287"/>
      <c r="Z133" s="287"/>
    </row>
    <row r="134" spans="3:26" s="63" customFormat="1" ht="12" outlineLevel="1" x14ac:dyDescent="0.2">
      <c r="C134" s="64"/>
      <c r="D134" s="566" t="s">
        <v>264</v>
      </c>
      <c r="E134" s="567" t="s">
        <v>675</v>
      </c>
      <c r="F134" s="568">
        <v>81</v>
      </c>
      <c r="G134" s="618">
        <v>12</v>
      </c>
      <c r="H134" s="616">
        <f>IF(J134="NO", F134*G134,SUM(J134:V134))</f>
        <v>972</v>
      </c>
      <c r="J134" s="617" t="s">
        <v>569</v>
      </c>
      <c r="K134" s="618">
        <v>0</v>
      </c>
      <c r="L134" s="618">
        <v>0</v>
      </c>
      <c r="M134" s="618">
        <v>0</v>
      </c>
      <c r="N134" s="618">
        <v>0</v>
      </c>
      <c r="O134" s="618">
        <v>0</v>
      </c>
      <c r="P134" s="618">
        <v>0</v>
      </c>
      <c r="Q134" s="618">
        <v>0</v>
      </c>
      <c r="R134" s="618">
        <f>F134*G134</f>
        <v>972</v>
      </c>
      <c r="S134" s="618">
        <v>0</v>
      </c>
      <c r="T134" s="618">
        <v>0</v>
      </c>
      <c r="U134" s="618">
        <v>0</v>
      </c>
      <c r="V134" s="618">
        <v>0</v>
      </c>
      <c r="W134" s="616">
        <f t="shared" si="64"/>
        <v>972</v>
      </c>
      <c r="Y134" s="287"/>
      <c r="Z134" s="287"/>
    </row>
    <row r="135" spans="3:26" s="63" customFormat="1" ht="12" outlineLevel="1" x14ac:dyDescent="0.2">
      <c r="C135" s="64"/>
      <c r="D135" s="566" t="s">
        <v>264</v>
      </c>
      <c r="E135" s="567" t="s">
        <v>669</v>
      </c>
      <c r="F135" s="568">
        <v>275</v>
      </c>
      <c r="G135" s="618">
        <v>12</v>
      </c>
      <c r="H135" s="616">
        <f t="shared" ref="H135:H137" si="66">IF(J135="NO", F135*G135,SUM(J135:V135))</f>
        <v>3300</v>
      </c>
      <c r="J135" s="617" t="s">
        <v>569</v>
      </c>
      <c r="K135" s="618">
        <v>0</v>
      </c>
      <c r="L135" s="618">
        <v>0</v>
      </c>
      <c r="M135" s="618">
        <v>0</v>
      </c>
      <c r="N135" s="618">
        <v>0</v>
      </c>
      <c r="O135" s="618">
        <v>0</v>
      </c>
      <c r="P135" s="618">
        <v>0</v>
      </c>
      <c r="Q135" s="618">
        <v>0</v>
      </c>
      <c r="R135" s="618">
        <v>0</v>
      </c>
      <c r="S135" s="618">
        <v>0</v>
      </c>
      <c r="T135" s="618">
        <f>F135*G135</f>
        <v>3300</v>
      </c>
      <c r="U135" s="618">
        <v>0</v>
      </c>
      <c r="V135" s="618">
        <v>0</v>
      </c>
      <c r="W135" s="616">
        <f t="shared" ref="W135:W137" si="67">SUM(K135:V135)</f>
        <v>3300</v>
      </c>
      <c r="Y135" s="287"/>
      <c r="Z135" s="287"/>
    </row>
    <row r="136" spans="3:26" s="63" customFormat="1" ht="12" outlineLevel="1" x14ac:dyDescent="0.2">
      <c r="C136" s="64"/>
      <c r="D136" s="566" t="s">
        <v>264</v>
      </c>
      <c r="E136" s="567" t="s">
        <v>668</v>
      </c>
      <c r="F136" s="568">
        <v>275</v>
      </c>
      <c r="G136" s="618">
        <v>12</v>
      </c>
      <c r="H136" s="616">
        <f t="shared" si="66"/>
        <v>3300</v>
      </c>
      <c r="J136" s="617" t="s">
        <v>569</v>
      </c>
      <c r="K136" s="618">
        <v>0</v>
      </c>
      <c r="L136" s="618">
        <v>0</v>
      </c>
      <c r="M136" s="618">
        <v>0</v>
      </c>
      <c r="N136" s="618">
        <v>0</v>
      </c>
      <c r="O136" s="618">
        <v>0</v>
      </c>
      <c r="P136" s="618">
        <v>0</v>
      </c>
      <c r="Q136" s="618">
        <v>0</v>
      </c>
      <c r="R136" s="618">
        <v>0</v>
      </c>
      <c r="S136" s="618">
        <v>0</v>
      </c>
      <c r="T136" s="618">
        <f t="shared" ref="T136:T137" si="68">F136*G136</f>
        <v>3300</v>
      </c>
      <c r="U136" s="618">
        <v>0</v>
      </c>
      <c r="V136" s="618">
        <v>0</v>
      </c>
      <c r="W136" s="616">
        <f t="shared" si="67"/>
        <v>3300</v>
      </c>
      <c r="Y136" s="287"/>
      <c r="Z136" s="287"/>
    </row>
    <row r="137" spans="3:26" s="63" customFormat="1" ht="12" outlineLevel="1" x14ac:dyDescent="0.2">
      <c r="C137" s="64"/>
      <c r="D137" s="566" t="s">
        <v>264</v>
      </c>
      <c r="E137" s="567" t="s">
        <v>667</v>
      </c>
      <c r="F137" s="568">
        <v>275</v>
      </c>
      <c r="G137" s="618">
        <v>12</v>
      </c>
      <c r="H137" s="616">
        <f t="shared" si="66"/>
        <v>3300</v>
      </c>
      <c r="J137" s="617" t="s">
        <v>569</v>
      </c>
      <c r="K137" s="618">
        <v>0</v>
      </c>
      <c r="L137" s="618">
        <v>0</v>
      </c>
      <c r="M137" s="618">
        <v>0</v>
      </c>
      <c r="N137" s="618">
        <v>0</v>
      </c>
      <c r="O137" s="618">
        <v>0</v>
      </c>
      <c r="P137" s="618">
        <v>0</v>
      </c>
      <c r="Q137" s="618">
        <v>0</v>
      </c>
      <c r="R137" s="618">
        <v>0</v>
      </c>
      <c r="S137" s="618">
        <v>0</v>
      </c>
      <c r="T137" s="618">
        <f t="shared" si="68"/>
        <v>3300</v>
      </c>
      <c r="U137" s="618">
        <v>0</v>
      </c>
      <c r="V137" s="618">
        <v>0</v>
      </c>
      <c r="W137" s="616">
        <f t="shared" si="67"/>
        <v>3300</v>
      </c>
      <c r="Y137" s="287"/>
      <c r="Z137" s="287"/>
    </row>
    <row r="138" spans="3:26" s="63" customFormat="1" ht="12" outlineLevel="1" x14ac:dyDescent="0.2">
      <c r="C138" s="64"/>
      <c r="D138" s="566" t="s">
        <v>258</v>
      </c>
      <c r="E138" s="567"/>
      <c r="F138" s="568">
        <v>0</v>
      </c>
      <c r="G138" s="618">
        <v>0</v>
      </c>
      <c r="H138" s="616">
        <f t="shared" si="60"/>
        <v>0</v>
      </c>
      <c r="J138" s="617" t="s">
        <v>569</v>
      </c>
      <c r="K138" s="618">
        <v>0</v>
      </c>
      <c r="L138" s="618">
        <v>0</v>
      </c>
      <c r="M138" s="618">
        <v>0</v>
      </c>
      <c r="N138" s="618">
        <v>0</v>
      </c>
      <c r="O138" s="618">
        <v>0</v>
      </c>
      <c r="P138" s="618">
        <v>0</v>
      </c>
      <c r="Q138" s="618">
        <v>0</v>
      </c>
      <c r="R138" s="618">
        <v>0</v>
      </c>
      <c r="S138" s="618">
        <v>0</v>
      </c>
      <c r="T138" s="618">
        <v>0</v>
      </c>
      <c r="U138" s="618">
        <v>0</v>
      </c>
      <c r="V138" s="618">
        <v>0</v>
      </c>
      <c r="W138" s="616">
        <f t="shared" si="61"/>
        <v>0</v>
      </c>
      <c r="Y138" s="287"/>
      <c r="Z138" s="287"/>
    </row>
    <row r="139" spans="3:26" s="63" customFormat="1" ht="3.6" customHeight="1" outlineLevel="1" thickBot="1" x14ac:dyDescent="0.25">
      <c r="C139" s="64"/>
      <c r="D139" s="294"/>
      <c r="E139" s="299"/>
      <c r="F139" s="281"/>
      <c r="G139" s="563"/>
      <c r="H139" s="556"/>
      <c r="J139" s="619"/>
      <c r="K139" s="563"/>
      <c r="L139" s="563"/>
      <c r="M139" s="563"/>
      <c r="N139" s="563"/>
      <c r="O139" s="563"/>
      <c r="P139" s="563"/>
      <c r="Q139" s="563"/>
      <c r="R139" s="563"/>
      <c r="S139" s="563"/>
      <c r="T139" s="563"/>
      <c r="U139" s="563"/>
      <c r="V139" s="563"/>
      <c r="W139" s="556"/>
      <c r="Y139" s="287"/>
      <c r="Z139" s="287"/>
    </row>
    <row r="140" spans="3:26" s="63" customFormat="1" ht="12.75" thickBot="1" x14ac:dyDescent="0.25">
      <c r="C140" s="64"/>
      <c r="D140" s="292"/>
      <c r="E140" s="298"/>
      <c r="F140" s="282" t="str">
        <f>E127</f>
        <v>Data Processing and Coding Services</v>
      </c>
      <c r="G140" s="564">
        <f>C127</f>
        <v>6351</v>
      </c>
      <c r="H140" s="623">
        <f>SUBTOTAL(9,H128:H139)</f>
        <v>37619</v>
      </c>
      <c r="J140" s="624"/>
      <c r="K140" s="622">
        <f t="shared" ref="K140:W140" si="69">SUBTOTAL(9,K128:K139)</f>
        <v>0</v>
      </c>
      <c r="L140" s="622">
        <f t="shared" si="69"/>
        <v>0</v>
      </c>
      <c r="M140" s="622">
        <f t="shared" si="69"/>
        <v>0</v>
      </c>
      <c r="N140" s="622">
        <f t="shared" si="69"/>
        <v>23956.76</v>
      </c>
      <c r="O140" s="622">
        <f t="shared" si="69"/>
        <v>846.24</v>
      </c>
      <c r="P140" s="622">
        <f t="shared" si="69"/>
        <v>0</v>
      </c>
      <c r="Q140" s="622">
        <f t="shared" si="69"/>
        <v>0</v>
      </c>
      <c r="R140" s="622">
        <f t="shared" si="69"/>
        <v>2916</v>
      </c>
      <c r="S140" s="622">
        <f t="shared" si="69"/>
        <v>0</v>
      </c>
      <c r="T140" s="622">
        <f t="shared" si="69"/>
        <v>9900</v>
      </c>
      <c r="U140" s="622">
        <f t="shared" si="69"/>
        <v>0</v>
      </c>
      <c r="V140" s="622">
        <f t="shared" si="69"/>
        <v>0</v>
      </c>
      <c r="W140" s="623">
        <f t="shared" si="69"/>
        <v>37619</v>
      </c>
      <c r="X140" s="63" t="str">
        <f>IF(H140=W140,"OK","Error")</f>
        <v>OK</v>
      </c>
      <c r="Y140" s="287">
        <v>0</v>
      </c>
      <c r="Z140" s="287">
        <f>H140-Y140</f>
        <v>37619</v>
      </c>
    </row>
    <row r="141" spans="3:26" s="63" customFormat="1" ht="12" x14ac:dyDescent="0.2">
      <c r="C141" s="64"/>
      <c r="D141" s="292"/>
      <c r="E141" s="298"/>
      <c r="F141" s="279"/>
      <c r="G141" s="561"/>
      <c r="H141" s="553"/>
      <c r="J141" s="613"/>
      <c r="K141" s="561"/>
      <c r="L141" s="561"/>
      <c r="M141" s="561"/>
      <c r="N141" s="561"/>
      <c r="O141" s="561"/>
      <c r="P141" s="561"/>
      <c r="Q141" s="561"/>
      <c r="R141" s="561"/>
      <c r="S141" s="561"/>
      <c r="T141" s="561"/>
      <c r="U141" s="561"/>
      <c r="V141" s="561"/>
      <c r="W141" s="553"/>
      <c r="Y141" s="287"/>
      <c r="Z141" s="287"/>
    </row>
    <row r="142" spans="3:26" s="63" customFormat="1" ht="12" x14ac:dyDescent="0.2">
      <c r="C142" s="66" t="s">
        <v>100</v>
      </c>
      <c r="D142" s="292"/>
      <c r="E142" s="298"/>
      <c r="F142" s="279"/>
      <c r="G142" s="561"/>
      <c r="H142" s="553"/>
      <c r="J142" s="613"/>
      <c r="K142" s="561"/>
      <c r="L142" s="561"/>
      <c r="M142" s="561"/>
      <c r="N142" s="561"/>
      <c r="O142" s="561"/>
      <c r="P142" s="561"/>
      <c r="Q142" s="561"/>
      <c r="R142" s="561"/>
      <c r="S142" s="561"/>
      <c r="T142" s="561"/>
      <c r="U142" s="561"/>
      <c r="V142" s="561"/>
      <c r="W142" s="553"/>
      <c r="Y142" s="287"/>
      <c r="Z142" s="287"/>
    </row>
    <row r="143" spans="3:26" s="63" customFormat="1" ht="12" outlineLevel="1" x14ac:dyDescent="0.2">
      <c r="C143" s="670">
        <v>6410</v>
      </c>
      <c r="D143" s="292"/>
      <c r="E143" s="298" t="s">
        <v>19</v>
      </c>
      <c r="F143" s="279"/>
      <c r="G143" s="561"/>
      <c r="H143" s="553"/>
      <c r="J143" s="613"/>
      <c r="K143" s="561"/>
      <c r="L143" s="561"/>
      <c r="M143" s="561"/>
      <c r="N143" s="561"/>
      <c r="O143" s="561"/>
      <c r="P143" s="561"/>
      <c r="Q143" s="561"/>
      <c r="R143" s="561"/>
      <c r="S143" s="561"/>
      <c r="T143" s="561"/>
      <c r="U143" s="561"/>
      <c r="V143" s="561"/>
      <c r="W143" s="553"/>
      <c r="Y143" s="287"/>
      <c r="Z143" s="287"/>
    </row>
    <row r="144" spans="3:26" s="63" customFormat="1" ht="12" outlineLevel="1" x14ac:dyDescent="0.2">
      <c r="C144" s="64"/>
      <c r="D144" s="673" t="s">
        <v>273</v>
      </c>
      <c r="E144" s="569" t="s">
        <v>511</v>
      </c>
      <c r="F144" s="570">
        <v>0</v>
      </c>
      <c r="G144" s="672">
        <v>0</v>
      </c>
      <c r="H144" s="616">
        <f>IF(J144="NO", F144*G144,SUM(J144:V144))</f>
        <v>0</v>
      </c>
      <c r="J144" s="614" t="s">
        <v>569</v>
      </c>
      <c r="K144" s="615">
        <f t="shared" ref="K144:V146" si="70">$F144*$G144/12</f>
        <v>0</v>
      </c>
      <c r="L144" s="615">
        <f t="shared" si="70"/>
        <v>0</v>
      </c>
      <c r="M144" s="615">
        <f t="shared" si="70"/>
        <v>0</v>
      </c>
      <c r="N144" s="615">
        <f t="shared" si="70"/>
        <v>0</v>
      </c>
      <c r="O144" s="615">
        <f t="shared" si="70"/>
        <v>0</v>
      </c>
      <c r="P144" s="615">
        <f t="shared" si="70"/>
        <v>0</v>
      </c>
      <c r="Q144" s="615">
        <f t="shared" si="70"/>
        <v>0</v>
      </c>
      <c r="R144" s="615">
        <f t="shared" si="70"/>
        <v>0</v>
      </c>
      <c r="S144" s="615">
        <f t="shared" si="70"/>
        <v>0</v>
      </c>
      <c r="T144" s="615">
        <f t="shared" si="70"/>
        <v>0</v>
      </c>
      <c r="U144" s="615">
        <f t="shared" si="70"/>
        <v>0</v>
      </c>
      <c r="V144" s="615">
        <f t="shared" si="70"/>
        <v>0</v>
      </c>
      <c r="W144" s="616">
        <f t="shared" ref="W144:W146" si="71">SUM(K144:V144)</f>
        <v>0</v>
      </c>
      <c r="Y144" s="287"/>
      <c r="Z144" s="287"/>
    </row>
    <row r="145" spans="3:26" s="63" customFormat="1" ht="12" outlineLevel="1" x14ac:dyDescent="0.2">
      <c r="C145" s="64"/>
      <c r="D145" s="566" t="s">
        <v>258</v>
      </c>
      <c r="E145" s="567" t="s">
        <v>512</v>
      </c>
      <c r="F145" s="568">
        <v>0</v>
      </c>
      <c r="G145" s="618">
        <v>0</v>
      </c>
      <c r="H145" s="616">
        <f t="shared" ref="H145:H146" si="72">IF(J145="NO", F145*G145,SUM(J145:V145))</f>
        <v>0</v>
      </c>
      <c r="J145" s="617" t="s">
        <v>569</v>
      </c>
      <c r="K145" s="618">
        <f t="shared" si="70"/>
        <v>0</v>
      </c>
      <c r="L145" s="618">
        <f t="shared" si="70"/>
        <v>0</v>
      </c>
      <c r="M145" s="618">
        <f t="shared" si="70"/>
        <v>0</v>
      </c>
      <c r="N145" s="618">
        <f t="shared" si="70"/>
        <v>0</v>
      </c>
      <c r="O145" s="618">
        <f t="shared" si="70"/>
        <v>0</v>
      </c>
      <c r="P145" s="618">
        <f t="shared" si="70"/>
        <v>0</v>
      </c>
      <c r="Q145" s="618">
        <f t="shared" si="70"/>
        <v>0</v>
      </c>
      <c r="R145" s="618">
        <f t="shared" si="70"/>
        <v>0</v>
      </c>
      <c r="S145" s="618">
        <f t="shared" si="70"/>
        <v>0</v>
      </c>
      <c r="T145" s="618">
        <f t="shared" si="70"/>
        <v>0</v>
      </c>
      <c r="U145" s="618">
        <f t="shared" si="70"/>
        <v>0</v>
      </c>
      <c r="V145" s="618">
        <f t="shared" si="70"/>
        <v>0</v>
      </c>
      <c r="W145" s="616">
        <f t="shared" si="71"/>
        <v>0</v>
      </c>
      <c r="Y145" s="287"/>
      <c r="Z145" s="287"/>
    </row>
    <row r="146" spans="3:26" s="63" customFormat="1" ht="12" outlineLevel="1" x14ac:dyDescent="0.2">
      <c r="C146" s="64"/>
      <c r="D146" s="566" t="s">
        <v>258</v>
      </c>
      <c r="E146" s="567"/>
      <c r="F146" s="568">
        <v>0</v>
      </c>
      <c r="G146" s="618">
        <v>0</v>
      </c>
      <c r="H146" s="616">
        <f t="shared" si="72"/>
        <v>0</v>
      </c>
      <c r="J146" s="617" t="s">
        <v>569</v>
      </c>
      <c r="K146" s="618">
        <f t="shared" si="70"/>
        <v>0</v>
      </c>
      <c r="L146" s="618">
        <f t="shared" si="70"/>
        <v>0</v>
      </c>
      <c r="M146" s="618">
        <f t="shared" si="70"/>
        <v>0</v>
      </c>
      <c r="N146" s="618">
        <f t="shared" si="70"/>
        <v>0</v>
      </c>
      <c r="O146" s="618">
        <f t="shared" si="70"/>
        <v>0</v>
      </c>
      <c r="P146" s="618">
        <f t="shared" si="70"/>
        <v>0</v>
      </c>
      <c r="Q146" s="618">
        <f t="shared" si="70"/>
        <v>0</v>
      </c>
      <c r="R146" s="618">
        <f t="shared" si="70"/>
        <v>0</v>
      </c>
      <c r="S146" s="618">
        <f t="shared" si="70"/>
        <v>0</v>
      </c>
      <c r="T146" s="618">
        <f t="shared" si="70"/>
        <v>0</v>
      </c>
      <c r="U146" s="618">
        <f t="shared" si="70"/>
        <v>0</v>
      </c>
      <c r="V146" s="618">
        <f t="shared" si="70"/>
        <v>0</v>
      </c>
      <c r="W146" s="616">
        <f t="shared" si="71"/>
        <v>0</v>
      </c>
      <c r="Y146" s="287"/>
      <c r="Z146" s="287"/>
    </row>
    <row r="147" spans="3:26" s="63" customFormat="1" ht="3.6" customHeight="1" outlineLevel="1" thickBot="1" x14ac:dyDescent="0.25">
      <c r="C147" s="64"/>
      <c r="D147" s="294"/>
      <c r="E147" s="299"/>
      <c r="F147" s="281"/>
      <c r="G147" s="563"/>
      <c r="H147" s="556"/>
      <c r="J147" s="619"/>
      <c r="K147" s="563"/>
      <c r="L147" s="563"/>
      <c r="M147" s="563"/>
      <c r="N147" s="563"/>
      <c r="O147" s="563"/>
      <c r="P147" s="563"/>
      <c r="Q147" s="563"/>
      <c r="R147" s="563"/>
      <c r="S147" s="563"/>
      <c r="T147" s="563"/>
      <c r="U147" s="563"/>
      <c r="V147" s="563"/>
      <c r="W147" s="556"/>
      <c r="Y147" s="287"/>
      <c r="Z147" s="287"/>
    </row>
    <row r="148" spans="3:26" s="63" customFormat="1" ht="12.75" thickBot="1" x14ac:dyDescent="0.25">
      <c r="C148" s="64"/>
      <c r="D148" s="292"/>
      <c r="E148" s="298"/>
      <c r="F148" s="282" t="str">
        <f>E143</f>
        <v>Utility Services</v>
      </c>
      <c r="G148" s="564">
        <f>C143</f>
        <v>6410</v>
      </c>
      <c r="H148" s="557">
        <f>SUBTOTAL(9,H144:H147)</f>
        <v>0</v>
      </c>
      <c r="J148" s="624"/>
      <c r="K148" s="622">
        <f>SUBTOTAL(9,K144:K147)</f>
        <v>0</v>
      </c>
      <c r="L148" s="622">
        <f t="shared" ref="L148:U148" si="73">SUBTOTAL(9,L144:L147)</f>
        <v>0</v>
      </c>
      <c r="M148" s="622">
        <f t="shared" si="73"/>
        <v>0</v>
      </c>
      <c r="N148" s="622">
        <f t="shared" si="73"/>
        <v>0</v>
      </c>
      <c r="O148" s="622">
        <f t="shared" si="73"/>
        <v>0</v>
      </c>
      <c r="P148" s="622">
        <f t="shared" si="73"/>
        <v>0</v>
      </c>
      <c r="Q148" s="622">
        <f t="shared" si="73"/>
        <v>0</v>
      </c>
      <c r="R148" s="622">
        <f t="shared" si="73"/>
        <v>0</v>
      </c>
      <c r="S148" s="622">
        <f t="shared" si="73"/>
        <v>0</v>
      </c>
      <c r="T148" s="622">
        <f t="shared" si="73"/>
        <v>0</v>
      </c>
      <c r="U148" s="622">
        <f t="shared" si="73"/>
        <v>0</v>
      </c>
      <c r="V148" s="622">
        <f>SUBTOTAL(9,V144:V147)</f>
        <v>0</v>
      </c>
      <c r="W148" s="557">
        <f>SUBTOTAL(9,W144:W147)</f>
        <v>0</v>
      </c>
      <c r="X148" s="63" t="str">
        <f>IF(H148=W148,"OK","Error")</f>
        <v>OK</v>
      </c>
      <c r="Y148" s="287">
        <v>0</v>
      </c>
      <c r="Z148" s="287">
        <f>H148-Y148</f>
        <v>0</v>
      </c>
    </row>
    <row r="149" spans="3:26" s="63" customFormat="1" ht="12" outlineLevel="1" x14ac:dyDescent="0.2">
      <c r="C149" s="64"/>
      <c r="D149" s="292"/>
      <c r="E149" s="298"/>
      <c r="F149" s="279"/>
      <c r="G149" s="561"/>
      <c r="H149" s="553"/>
      <c r="J149" s="613"/>
      <c r="K149" s="561"/>
      <c r="L149" s="561"/>
      <c r="M149" s="561"/>
      <c r="N149" s="561"/>
      <c r="O149" s="561"/>
      <c r="P149" s="561"/>
      <c r="Q149" s="561"/>
      <c r="R149" s="561"/>
      <c r="S149" s="561"/>
      <c r="T149" s="561"/>
      <c r="U149" s="561"/>
      <c r="V149" s="561"/>
      <c r="W149" s="553"/>
      <c r="Y149" s="287"/>
      <c r="Z149" s="287"/>
    </row>
    <row r="150" spans="3:26" s="63" customFormat="1" ht="12" outlineLevel="1" x14ac:dyDescent="0.2">
      <c r="C150" s="670">
        <v>6420</v>
      </c>
      <c r="D150" s="292"/>
      <c r="E150" s="298" t="s">
        <v>20</v>
      </c>
      <c r="F150" s="279"/>
      <c r="G150" s="561"/>
      <c r="H150" s="553"/>
      <c r="J150" s="613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53"/>
      <c r="Y150" s="287"/>
      <c r="Z150" s="287"/>
    </row>
    <row r="151" spans="3:26" s="63" customFormat="1" ht="12" outlineLevel="1" x14ac:dyDescent="0.2">
      <c r="C151" s="64"/>
      <c r="D151" s="566" t="s">
        <v>274</v>
      </c>
      <c r="E151" s="567" t="s">
        <v>690</v>
      </c>
      <c r="F151" s="568">
        <v>12</v>
      </c>
      <c r="G151" s="618">
        <v>270</v>
      </c>
      <c r="H151" s="616">
        <f t="shared" ref="H151:H154" si="74">IF(J151="NO", F151*G151,SUM(J151:V151))</f>
        <v>4800</v>
      </c>
      <c r="J151" s="617" t="s">
        <v>569</v>
      </c>
      <c r="K151" s="618">
        <v>400</v>
      </c>
      <c r="L151" s="618">
        <v>400</v>
      </c>
      <c r="M151" s="618">
        <v>400</v>
      </c>
      <c r="N151" s="618">
        <v>400</v>
      </c>
      <c r="O151" s="618">
        <v>400</v>
      </c>
      <c r="P151" s="618">
        <v>400</v>
      </c>
      <c r="Q151" s="618">
        <v>400</v>
      </c>
      <c r="R151" s="618">
        <v>400</v>
      </c>
      <c r="S151" s="618">
        <v>400</v>
      </c>
      <c r="T151" s="618">
        <v>400</v>
      </c>
      <c r="U151" s="618">
        <v>400</v>
      </c>
      <c r="V151" s="618">
        <v>400</v>
      </c>
      <c r="W151" s="616">
        <f t="shared" ref="W151:W154" si="75">SUM(K151:V151)</f>
        <v>4800</v>
      </c>
      <c r="Y151" s="287"/>
      <c r="Z151" s="287"/>
    </row>
    <row r="152" spans="3:26" s="63" customFormat="1" ht="12" outlineLevel="1" x14ac:dyDescent="0.2">
      <c r="C152" s="64"/>
      <c r="D152" s="566" t="s">
        <v>274</v>
      </c>
      <c r="E152" s="567" t="s">
        <v>689</v>
      </c>
      <c r="F152" s="568">
        <v>4</v>
      </c>
      <c r="G152" s="618">
        <v>250</v>
      </c>
      <c r="H152" s="616">
        <f t="shared" si="74"/>
        <v>820</v>
      </c>
      <c r="J152" s="617" t="s">
        <v>569</v>
      </c>
      <c r="K152" s="618">
        <v>205</v>
      </c>
      <c r="L152" s="618">
        <v>0</v>
      </c>
      <c r="M152" s="618">
        <v>0</v>
      </c>
      <c r="N152" s="618">
        <v>205</v>
      </c>
      <c r="O152" s="618">
        <v>0</v>
      </c>
      <c r="P152" s="618">
        <v>0</v>
      </c>
      <c r="Q152" s="618">
        <v>205</v>
      </c>
      <c r="R152" s="618">
        <v>0</v>
      </c>
      <c r="S152" s="618">
        <v>0</v>
      </c>
      <c r="T152" s="618">
        <v>0</v>
      </c>
      <c r="U152" s="618">
        <v>205</v>
      </c>
      <c r="V152" s="618">
        <v>0</v>
      </c>
      <c r="W152" s="616">
        <f t="shared" si="75"/>
        <v>820</v>
      </c>
      <c r="Y152" s="287"/>
      <c r="Z152" s="287"/>
    </row>
    <row r="153" spans="3:26" s="63" customFormat="1" ht="12" outlineLevel="1" x14ac:dyDescent="0.2">
      <c r="C153" s="64"/>
      <c r="D153" s="566" t="s">
        <v>258</v>
      </c>
      <c r="E153" s="567" t="s">
        <v>513</v>
      </c>
      <c r="F153" s="568">
        <v>0</v>
      </c>
      <c r="G153" s="618">
        <v>0</v>
      </c>
      <c r="H153" s="616">
        <f t="shared" si="74"/>
        <v>0</v>
      </c>
      <c r="J153" s="617" t="s">
        <v>569</v>
      </c>
      <c r="K153" s="618">
        <v>0</v>
      </c>
      <c r="L153" s="618">
        <v>0</v>
      </c>
      <c r="M153" s="618">
        <v>0</v>
      </c>
      <c r="N153" s="618">
        <v>0</v>
      </c>
      <c r="O153" s="618">
        <v>0</v>
      </c>
      <c r="P153" s="618">
        <v>0</v>
      </c>
      <c r="Q153" s="618">
        <v>0</v>
      </c>
      <c r="R153" s="618">
        <v>0</v>
      </c>
      <c r="S153" s="618">
        <v>0</v>
      </c>
      <c r="T153" s="618">
        <v>0</v>
      </c>
      <c r="U153" s="618">
        <v>0</v>
      </c>
      <c r="V153" s="618">
        <v>0</v>
      </c>
      <c r="W153" s="616">
        <f t="shared" si="75"/>
        <v>0</v>
      </c>
      <c r="Y153" s="287"/>
      <c r="Z153" s="287"/>
    </row>
    <row r="154" spans="3:26" s="63" customFormat="1" ht="12" outlineLevel="1" x14ac:dyDescent="0.2">
      <c r="C154" s="64"/>
      <c r="D154" s="566" t="s">
        <v>258</v>
      </c>
      <c r="E154" s="567"/>
      <c r="F154" s="568">
        <v>0</v>
      </c>
      <c r="G154" s="618">
        <v>0</v>
      </c>
      <c r="H154" s="616">
        <f t="shared" si="74"/>
        <v>0</v>
      </c>
      <c r="J154" s="617" t="s">
        <v>569</v>
      </c>
      <c r="K154" s="618">
        <v>0</v>
      </c>
      <c r="L154" s="618">
        <v>0</v>
      </c>
      <c r="M154" s="618">
        <v>0</v>
      </c>
      <c r="N154" s="618">
        <v>0</v>
      </c>
      <c r="O154" s="618">
        <v>0</v>
      </c>
      <c r="P154" s="618">
        <v>0</v>
      </c>
      <c r="Q154" s="618">
        <v>0</v>
      </c>
      <c r="R154" s="618">
        <v>0</v>
      </c>
      <c r="S154" s="618">
        <v>0</v>
      </c>
      <c r="T154" s="618">
        <v>0</v>
      </c>
      <c r="U154" s="618">
        <v>0</v>
      </c>
      <c r="V154" s="618">
        <v>0</v>
      </c>
      <c r="W154" s="616">
        <f t="shared" si="75"/>
        <v>0</v>
      </c>
      <c r="Y154" s="287"/>
      <c r="Z154" s="287"/>
    </row>
    <row r="155" spans="3:26" s="63" customFormat="1" ht="3.6" customHeight="1" outlineLevel="1" thickBot="1" x14ac:dyDescent="0.25">
      <c r="C155" s="64"/>
      <c r="D155" s="294"/>
      <c r="E155" s="299"/>
      <c r="F155" s="281"/>
      <c r="G155" s="563"/>
      <c r="H155" s="556"/>
      <c r="J155" s="619"/>
      <c r="K155" s="563"/>
      <c r="L155" s="563"/>
      <c r="M155" s="563"/>
      <c r="N155" s="563"/>
      <c r="O155" s="563"/>
      <c r="P155" s="563"/>
      <c r="Q155" s="563"/>
      <c r="R155" s="563"/>
      <c r="S155" s="563"/>
      <c r="T155" s="563"/>
      <c r="U155" s="563"/>
      <c r="V155" s="563"/>
      <c r="W155" s="556"/>
      <c r="Y155" s="287"/>
      <c r="Z155" s="287"/>
    </row>
    <row r="156" spans="3:26" s="63" customFormat="1" ht="12.75" thickBot="1" x14ac:dyDescent="0.25">
      <c r="C156" s="64"/>
      <c r="D156" s="292"/>
      <c r="E156" s="298"/>
      <c r="F156" s="282" t="str">
        <f>E150</f>
        <v>Cleaning Services</v>
      </c>
      <c r="G156" s="564">
        <f>C150</f>
        <v>6420</v>
      </c>
      <c r="H156" s="557">
        <f>SUBTOTAL(9,H151:H155)</f>
        <v>5620</v>
      </c>
      <c r="J156" s="624"/>
      <c r="K156" s="622">
        <f>SUBTOTAL(9,K151:K155)</f>
        <v>605</v>
      </c>
      <c r="L156" s="622">
        <f t="shared" ref="L156:V156" si="76">SUBTOTAL(9,L151:L155)</f>
        <v>400</v>
      </c>
      <c r="M156" s="622">
        <f t="shared" si="76"/>
        <v>400</v>
      </c>
      <c r="N156" s="622">
        <f t="shared" si="76"/>
        <v>605</v>
      </c>
      <c r="O156" s="622">
        <f t="shared" si="76"/>
        <v>400</v>
      </c>
      <c r="P156" s="622">
        <f t="shared" si="76"/>
        <v>400</v>
      </c>
      <c r="Q156" s="622">
        <f t="shared" si="76"/>
        <v>605</v>
      </c>
      <c r="R156" s="622">
        <f t="shared" si="76"/>
        <v>400</v>
      </c>
      <c r="S156" s="622">
        <f t="shared" si="76"/>
        <v>400</v>
      </c>
      <c r="T156" s="622">
        <f t="shared" si="76"/>
        <v>400</v>
      </c>
      <c r="U156" s="622">
        <f t="shared" si="76"/>
        <v>605</v>
      </c>
      <c r="V156" s="622">
        <f t="shared" si="76"/>
        <v>400</v>
      </c>
      <c r="W156" s="557">
        <f>SUBTOTAL(9,W151:W155)</f>
        <v>5620</v>
      </c>
      <c r="X156" s="63" t="str">
        <f>IF(H156=W156,"OK","Error")</f>
        <v>OK</v>
      </c>
      <c r="Y156" s="287">
        <v>0</v>
      </c>
      <c r="Z156" s="287">
        <f>H156-Y156</f>
        <v>5620</v>
      </c>
    </row>
    <row r="157" spans="3:26" s="63" customFormat="1" ht="12" outlineLevel="1" x14ac:dyDescent="0.2">
      <c r="C157" s="64"/>
      <c r="D157" s="292"/>
      <c r="E157" s="298"/>
      <c r="F157" s="279"/>
      <c r="G157" s="561"/>
      <c r="H157" s="553"/>
      <c r="J157" s="613"/>
      <c r="K157" s="561"/>
      <c r="L157" s="561"/>
      <c r="M157" s="561"/>
      <c r="N157" s="561"/>
      <c r="O157" s="561"/>
      <c r="P157" s="561"/>
      <c r="Q157" s="561"/>
      <c r="R157" s="561"/>
      <c r="S157" s="561"/>
      <c r="T157" s="561"/>
      <c r="U157" s="561"/>
      <c r="V157" s="561"/>
      <c r="W157" s="553"/>
      <c r="Y157" s="287"/>
      <c r="Z157" s="287"/>
    </row>
    <row r="158" spans="3:26" s="63" customFormat="1" ht="12" outlineLevel="1" x14ac:dyDescent="0.2">
      <c r="C158" s="670">
        <v>6430</v>
      </c>
      <c r="D158" s="292"/>
      <c r="E158" s="298" t="s">
        <v>21</v>
      </c>
      <c r="F158" s="279"/>
      <c r="G158" s="561"/>
      <c r="H158" s="553"/>
      <c r="J158" s="613"/>
      <c r="K158" s="561"/>
      <c r="L158" s="561"/>
      <c r="M158" s="561"/>
      <c r="N158" s="561"/>
      <c r="O158" s="561"/>
      <c r="P158" s="561"/>
      <c r="Q158" s="561"/>
      <c r="R158" s="561"/>
      <c r="S158" s="561"/>
      <c r="T158" s="561"/>
      <c r="U158" s="561"/>
      <c r="V158" s="561"/>
      <c r="W158" s="553"/>
      <c r="Y158" s="287"/>
      <c r="Z158" s="287"/>
    </row>
    <row r="159" spans="3:26" s="63" customFormat="1" ht="12" outlineLevel="1" x14ac:dyDescent="0.2">
      <c r="C159" s="64"/>
      <c r="D159" s="566" t="s">
        <v>274</v>
      </c>
      <c r="E159" s="567" t="s">
        <v>688</v>
      </c>
      <c r="F159" s="568">
        <v>3</v>
      </c>
      <c r="G159" s="618">
        <v>100</v>
      </c>
      <c r="H159" s="616">
        <f>IF(J159="NO", F159*G159,SUM(J159:V159))</f>
        <v>300</v>
      </c>
      <c r="J159" s="617" t="s">
        <v>564</v>
      </c>
      <c r="K159" s="618">
        <v>0</v>
      </c>
      <c r="L159" s="618">
        <v>0</v>
      </c>
      <c r="M159" s="618">
        <v>150</v>
      </c>
      <c r="N159" s="618">
        <v>0</v>
      </c>
      <c r="O159" s="618">
        <v>0</v>
      </c>
      <c r="P159" s="618">
        <v>0</v>
      </c>
      <c r="Q159" s="618">
        <v>0</v>
      </c>
      <c r="R159" s="618">
        <v>0</v>
      </c>
      <c r="S159" s="618">
        <v>150</v>
      </c>
      <c r="T159" s="618">
        <v>0</v>
      </c>
      <c r="U159" s="618">
        <v>0</v>
      </c>
      <c r="V159" s="618">
        <v>0</v>
      </c>
      <c r="W159" s="616">
        <f t="shared" ref="W159:W162" si="77">SUM(K159:V159)</f>
        <v>300</v>
      </c>
      <c r="Y159" s="287"/>
      <c r="Z159" s="287"/>
    </row>
    <row r="160" spans="3:26" s="63" customFormat="1" ht="12" outlineLevel="1" x14ac:dyDescent="0.2">
      <c r="C160" s="64"/>
      <c r="D160" s="566" t="s">
        <v>274</v>
      </c>
      <c r="E160" s="567" t="s">
        <v>687</v>
      </c>
      <c r="F160" s="568">
        <v>3</v>
      </c>
      <c r="G160" s="618">
        <v>100</v>
      </c>
      <c r="H160" s="616">
        <f>IF(J160="NO", F160*G160,SUM(J160:V160))</f>
        <v>300</v>
      </c>
      <c r="J160" s="617" t="s">
        <v>564</v>
      </c>
      <c r="K160" s="618">
        <v>0</v>
      </c>
      <c r="L160" s="618">
        <v>0</v>
      </c>
      <c r="M160" s="618">
        <v>0</v>
      </c>
      <c r="N160" s="618">
        <v>150</v>
      </c>
      <c r="O160" s="618">
        <v>0</v>
      </c>
      <c r="P160" s="618">
        <v>0</v>
      </c>
      <c r="Q160" s="618">
        <v>0</v>
      </c>
      <c r="R160" s="618">
        <v>0</v>
      </c>
      <c r="S160" s="618">
        <v>0</v>
      </c>
      <c r="T160" s="618">
        <v>150</v>
      </c>
      <c r="U160" s="618">
        <v>0</v>
      </c>
      <c r="V160" s="618">
        <v>0</v>
      </c>
      <c r="W160" s="616">
        <f t="shared" ref="W160" si="78">SUM(K160:V160)</f>
        <v>300</v>
      </c>
      <c r="Y160" s="287"/>
      <c r="Z160" s="287"/>
    </row>
    <row r="161" spans="3:26" s="63" customFormat="1" ht="12" outlineLevel="1" x14ac:dyDescent="0.2">
      <c r="C161" s="64"/>
      <c r="D161" s="566" t="s">
        <v>258</v>
      </c>
      <c r="E161" s="567" t="s">
        <v>514</v>
      </c>
      <c r="F161" s="568"/>
      <c r="G161" s="618">
        <v>0</v>
      </c>
      <c r="H161" s="616">
        <f t="shared" ref="H161:H162" si="79">IF(J161="NO", F161*G161,SUM(J161:V161))</f>
        <v>0</v>
      </c>
      <c r="J161" s="617" t="s">
        <v>569</v>
      </c>
      <c r="K161" s="618">
        <v>0</v>
      </c>
      <c r="L161" s="618">
        <v>0</v>
      </c>
      <c r="M161" s="618">
        <v>0</v>
      </c>
      <c r="N161" s="618">
        <v>0</v>
      </c>
      <c r="O161" s="618">
        <v>0</v>
      </c>
      <c r="P161" s="618">
        <v>0</v>
      </c>
      <c r="Q161" s="618">
        <v>0</v>
      </c>
      <c r="R161" s="618">
        <v>0</v>
      </c>
      <c r="S161" s="618">
        <v>0</v>
      </c>
      <c r="T161" s="618">
        <v>0</v>
      </c>
      <c r="U161" s="618">
        <v>0</v>
      </c>
      <c r="V161" s="618">
        <v>0</v>
      </c>
      <c r="W161" s="616">
        <f t="shared" si="77"/>
        <v>0</v>
      </c>
      <c r="Y161" s="287"/>
      <c r="Z161" s="287"/>
    </row>
    <row r="162" spans="3:26" s="63" customFormat="1" ht="12" outlineLevel="1" x14ac:dyDescent="0.2">
      <c r="C162" s="64"/>
      <c r="D162" s="566" t="s">
        <v>258</v>
      </c>
      <c r="E162" s="567"/>
      <c r="F162" s="568">
        <v>0</v>
      </c>
      <c r="G162" s="618">
        <v>0</v>
      </c>
      <c r="H162" s="616">
        <f t="shared" si="79"/>
        <v>0</v>
      </c>
      <c r="J162" s="617" t="s">
        <v>569</v>
      </c>
      <c r="K162" s="618">
        <v>0</v>
      </c>
      <c r="L162" s="618">
        <v>0</v>
      </c>
      <c r="M162" s="618">
        <v>0</v>
      </c>
      <c r="N162" s="618">
        <v>0</v>
      </c>
      <c r="O162" s="618">
        <v>0</v>
      </c>
      <c r="P162" s="618">
        <v>0</v>
      </c>
      <c r="Q162" s="618">
        <v>0</v>
      </c>
      <c r="R162" s="618">
        <v>0</v>
      </c>
      <c r="S162" s="618">
        <v>0</v>
      </c>
      <c r="T162" s="618">
        <v>0</v>
      </c>
      <c r="U162" s="618">
        <v>0</v>
      </c>
      <c r="V162" s="618">
        <v>0</v>
      </c>
      <c r="W162" s="616">
        <f t="shared" si="77"/>
        <v>0</v>
      </c>
      <c r="Y162" s="287"/>
      <c r="Z162" s="287"/>
    </row>
    <row r="163" spans="3:26" s="63" customFormat="1" ht="3.6" customHeight="1" outlineLevel="1" thickBot="1" x14ac:dyDescent="0.25">
      <c r="C163" s="64"/>
      <c r="D163" s="294"/>
      <c r="E163" s="299"/>
      <c r="F163" s="281"/>
      <c r="G163" s="563"/>
      <c r="H163" s="556"/>
      <c r="J163" s="619"/>
      <c r="K163" s="563"/>
      <c r="L163" s="563"/>
      <c r="M163" s="563"/>
      <c r="N163" s="563"/>
      <c r="O163" s="563"/>
      <c r="P163" s="563"/>
      <c r="Q163" s="563"/>
      <c r="R163" s="563"/>
      <c r="S163" s="563"/>
      <c r="T163" s="563"/>
      <c r="U163" s="563"/>
      <c r="V163" s="563"/>
      <c r="W163" s="556"/>
      <c r="Y163" s="287"/>
      <c r="Z163" s="287"/>
    </row>
    <row r="164" spans="3:26" s="63" customFormat="1" ht="12.75" thickBot="1" x14ac:dyDescent="0.25">
      <c r="C164" s="64"/>
      <c r="D164" s="292"/>
      <c r="E164" s="298"/>
      <c r="F164" s="282" t="str">
        <f>E158</f>
        <v>Repairs and Maintenance Services</v>
      </c>
      <c r="G164" s="564">
        <f>C158</f>
        <v>6430</v>
      </c>
      <c r="H164" s="557">
        <f>SUBTOTAL(9,H159:H163)</f>
        <v>600</v>
      </c>
      <c r="J164" s="624"/>
      <c r="K164" s="622">
        <f>SUBTOTAL(9,K159:K163)</f>
        <v>0</v>
      </c>
      <c r="L164" s="622">
        <f t="shared" ref="L164:V164" si="80">SUBTOTAL(9,L159:L163)</f>
        <v>0</v>
      </c>
      <c r="M164" s="622">
        <f t="shared" si="80"/>
        <v>150</v>
      </c>
      <c r="N164" s="622">
        <f t="shared" si="80"/>
        <v>150</v>
      </c>
      <c r="O164" s="622">
        <f t="shared" si="80"/>
        <v>0</v>
      </c>
      <c r="P164" s="622">
        <f t="shared" si="80"/>
        <v>0</v>
      </c>
      <c r="Q164" s="622">
        <f t="shared" si="80"/>
        <v>0</v>
      </c>
      <c r="R164" s="622">
        <f t="shared" si="80"/>
        <v>0</v>
      </c>
      <c r="S164" s="622">
        <f t="shared" si="80"/>
        <v>150</v>
      </c>
      <c r="T164" s="622">
        <f t="shared" si="80"/>
        <v>150</v>
      </c>
      <c r="U164" s="622">
        <f t="shared" si="80"/>
        <v>0</v>
      </c>
      <c r="V164" s="622">
        <f t="shared" si="80"/>
        <v>0</v>
      </c>
      <c r="W164" s="557">
        <f>SUBTOTAL(9,W159:W163)</f>
        <v>600</v>
      </c>
      <c r="X164" s="63" t="str">
        <f>IF(H164=W164,"OK","Error")</f>
        <v>OK</v>
      </c>
      <c r="Y164" s="287">
        <v>0</v>
      </c>
      <c r="Z164" s="287">
        <f>H164-Y164</f>
        <v>600</v>
      </c>
    </row>
    <row r="165" spans="3:26" s="63" customFormat="1" ht="12" outlineLevel="1" x14ac:dyDescent="0.2">
      <c r="C165" s="64"/>
      <c r="D165" s="292"/>
      <c r="E165" s="298"/>
      <c r="F165" s="279"/>
      <c r="G165" s="561"/>
      <c r="H165" s="553"/>
      <c r="J165" s="613"/>
      <c r="K165" s="561"/>
      <c r="L165" s="561"/>
      <c r="M165" s="561"/>
      <c r="N165" s="561"/>
      <c r="O165" s="561"/>
      <c r="P165" s="561"/>
      <c r="Q165" s="561"/>
      <c r="R165" s="561"/>
      <c r="S165" s="561"/>
      <c r="T165" s="561"/>
      <c r="U165" s="561"/>
      <c r="V165" s="561"/>
      <c r="W165" s="553"/>
      <c r="Y165" s="287"/>
      <c r="Z165" s="287"/>
    </row>
    <row r="166" spans="3:26" s="63" customFormat="1" ht="12" outlineLevel="1" x14ac:dyDescent="0.2">
      <c r="C166" s="670">
        <v>6441</v>
      </c>
      <c r="D166" s="292"/>
      <c r="E166" s="298" t="s">
        <v>22</v>
      </c>
      <c r="F166" s="279"/>
      <c r="G166" s="561"/>
      <c r="H166" s="553"/>
      <c r="J166" s="613"/>
      <c r="K166" s="561"/>
      <c r="L166" s="561"/>
      <c r="M166" s="561"/>
      <c r="N166" s="561"/>
      <c r="O166" s="561"/>
      <c r="P166" s="561"/>
      <c r="Q166" s="561"/>
      <c r="R166" s="561"/>
      <c r="S166" s="561"/>
      <c r="T166" s="561"/>
      <c r="U166" s="561"/>
      <c r="V166" s="561"/>
      <c r="W166" s="553"/>
      <c r="Y166" s="287"/>
      <c r="Z166" s="287"/>
    </row>
    <row r="167" spans="3:26" s="63" customFormat="1" ht="12" outlineLevel="1" x14ac:dyDescent="0.2">
      <c r="C167" s="64"/>
      <c r="D167" s="566" t="s">
        <v>273</v>
      </c>
      <c r="E167" s="567" t="s">
        <v>692</v>
      </c>
      <c r="F167" s="568">
        <v>12</v>
      </c>
      <c r="G167" s="618">
        <v>3685.5</v>
      </c>
      <c r="H167" s="616">
        <f>IF(J167="NO", F167*G167,SUM(J167:V167))</f>
        <v>44226</v>
      </c>
      <c r="J167" s="617" t="s">
        <v>569</v>
      </c>
      <c r="K167" s="618">
        <f>$G167</f>
        <v>3685.5</v>
      </c>
      <c r="L167" s="618">
        <f t="shared" ref="L167:V168" si="81">$G167</f>
        <v>3685.5</v>
      </c>
      <c r="M167" s="618">
        <f t="shared" si="81"/>
        <v>3685.5</v>
      </c>
      <c r="N167" s="618">
        <f t="shared" si="81"/>
        <v>3685.5</v>
      </c>
      <c r="O167" s="618">
        <f t="shared" si="81"/>
        <v>3685.5</v>
      </c>
      <c r="P167" s="618">
        <f t="shared" si="81"/>
        <v>3685.5</v>
      </c>
      <c r="Q167" s="618">
        <f t="shared" si="81"/>
        <v>3685.5</v>
      </c>
      <c r="R167" s="618">
        <f t="shared" si="81"/>
        <v>3685.5</v>
      </c>
      <c r="S167" s="618">
        <f t="shared" si="81"/>
        <v>3685.5</v>
      </c>
      <c r="T167" s="618">
        <f t="shared" si="81"/>
        <v>3685.5</v>
      </c>
      <c r="U167" s="618">
        <f t="shared" si="81"/>
        <v>3685.5</v>
      </c>
      <c r="V167" s="618">
        <f t="shared" si="81"/>
        <v>3685.5</v>
      </c>
      <c r="W167" s="616">
        <f t="shared" ref="W167:W177" si="82">SUM(K167:V167)</f>
        <v>44226</v>
      </c>
      <c r="Y167" s="287"/>
      <c r="Z167" s="287"/>
    </row>
    <row r="168" spans="3:26" s="63" customFormat="1" ht="12" outlineLevel="1" x14ac:dyDescent="0.2">
      <c r="C168" s="64"/>
      <c r="D168" s="566" t="s">
        <v>273</v>
      </c>
      <c r="E168" s="567" t="s">
        <v>691</v>
      </c>
      <c r="F168" s="568">
        <v>12</v>
      </c>
      <c r="G168" s="618">
        <v>1228.5</v>
      </c>
      <c r="H168" s="616">
        <f t="shared" ref="H168:H177" si="83">IF(J168="NO", F168*G168,SUM(J168:V168))</f>
        <v>14742</v>
      </c>
      <c r="J168" s="617" t="s">
        <v>569</v>
      </c>
      <c r="K168" s="618">
        <f>$G168</f>
        <v>1228.5</v>
      </c>
      <c r="L168" s="618">
        <f t="shared" si="81"/>
        <v>1228.5</v>
      </c>
      <c r="M168" s="618">
        <f t="shared" si="81"/>
        <v>1228.5</v>
      </c>
      <c r="N168" s="618">
        <f t="shared" si="81"/>
        <v>1228.5</v>
      </c>
      <c r="O168" s="618">
        <f t="shared" si="81"/>
        <v>1228.5</v>
      </c>
      <c r="P168" s="618">
        <f t="shared" si="81"/>
        <v>1228.5</v>
      </c>
      <c r="Q168" s="618">
        <f t="shared" si="81"/>
        <v>1228.5</v>
      </c>
      <c r="R168" s="618">
        <f t="shared" si="81"/>
        <v>1228.5</v>
      </c>
      <c r="S168" s="618">
        <f t="shared" si="81"/>
        <v>1228.5</v>
      </c>
      <c r="T168" s="618">
        <f t="shared" si="81"/>
        <v>1228.5</v>
      </c>
      <c r="U168" s="618">
        <f t="shared" si="81"/>
        <v>1228.5</v>
      </c>
      <c r="V168" s="618">
        <f t="shared" si="81"/>
        <v>1228.5</v>
      </c>
      <c r="W168" s="616">
        <f t="shared" si="82"/>
        <v>14742</v>
      </c>
      <c r="Y168" s="287"/>
      <c r="Z168" s="287"/>
    </row>
    <row r="169" spans="3:26" s="63" customFormat="1" ht="12" outlineLevel="1" x14ac:dyDescent="0.2">
      <c r="C169" s="64"/>
      <c r="D169" s="566" t="s">
        <v>273</v>
      </c>
      <c r="E169" s="567" t="s">
        <v>693</v>
      </c>
      <c r="F169" s="568">
        <v>12</v>
      </c>
      <c r="G169" s="618">
        <v>300</v>
      </c>
      <c r="H169" s="616">
        <f t="shared" si="83"/>
        <v>3588</v>
      </c>
      <c r="J169" s="617" t="s">
        <v>569</v>
      </c>
      <c r="K169" s="618">
        <v>299</v>
      </c>
      <c r="L169" s="618">
        <v>299</v>
      </c>
      <c r="M169" s="618">
        <v>299</v>
      </c>
      <c r="N169" s="618">
        <v>299</v>
      </c>
      <c r="O169" s="618">
        <v>299</v>
      </c>
      <c r="P169" s="618">
        <v>299</v>
      </c>
      <c r="Q169" s="618">
        <v>299</v>
      </c>
      <c r="R169" s="618">
        <v>299</v>
      </c>
      <c r="S169" s="618">
        <v>299</v>
      </c>
      <c r="T169" s="618">
        <v>299</v>
      </c>
      <c r="U169" s="618">
        <v>299</v>
      </c>
      <c r="V169" s="618">
        <v>299</v>
      </c>
      <c r="W169" s="616">
        <f t="shared" si="82"/>
        <v>3588</v>
      </c>
      <c r="Y169" s="287"/>
      <c r="Z169" s="287"/>
    </row>
    <row r="170" spans="3:26" s="63" customFormat="1" ht="12" outlineLevel="1" x14ac:dyDescent="0.2">
      <c r="C170" s="64"/>
      <c r="D170" s="566" t="s">
        <v>259</v>
      </c>
      <c r="E170" s="567" t="s">
        <v>696</v>
      </c>
      <c r="F170" s="568">
        <v>6</v>
      </c>
      <c r="G170" s="618">
        <v>2200</v>
      </c>
      <c r="H170" s="616">
        <f t="shared" si="83"/>
        <v>13200</v>
      </c>
      <c r="J170" s="617" t="s">
        <v>569</v>
      </c>
      <c r="K170" s="618">
        <v>0</v>
      </c>
      <c r="L170" s="618">
        <f>F170*G170</f>
        <v>13200</v>
      </c>
      <c r="M170" s="618">
        <v>0</v>
      </c>
      <c r="N170" s="618">
        <v>0</v>
      </c>
      <c r="O170" s="618">
        <v>0</v>
      </c>
      <c r="P170" s="618">
        <v>0</v>
      </c>
      <c r="Q170" s="618">
        <v>0</v>
      </c>
      <c r="R170" s="618">
        <v>0</v>
      </c>
      <c r="S170" s="618">
        <v>0</v>
      </c>
      <c r="T170" s="618">
        <v>0</v>
      </c>
      <c r="U170" s="618">
        <v>0</v>
      </c>
      <c r="V170" s="618">
        <v>0</v>
      </c>
      <c r="W170" s="616">
        <f t="shared" si="82"/>
        <v>13200</v>
      </c>
      <c r="Y170" s="287"/>
      <c r="Z170" s="287"/>
    </row>
    <row r="171" spans="3:26" s="63" customFormat="1" ht="12" outlineLevel="1" x14ac:dyDescent="0.2">
      <c r="C171" s="64"/>
      <c r="D171" s="566" t="s">
        <v>259</v>
      </c>
      <c r="E171" s="567" t="s">
        <v>695</v>
      </c>
      <c r="F171" s="568">
        <v>6</v>
      </c>
      <c r="G171" s="618">
        <v>750</v>
      </c>
      <c r="H171" s="616">
        <f t="shared" si="83"/>
        <v>4500</v>
      </c>
      <c r="J171" s="617" t="s">
        <v>569</v>
      </c>
      <c r="K171" s="618">
        <v>0</v>
      </c>
      <c r="L171" s="618">
        <f>F171*G171</f>
        <v>4500</v>
      </c>
      <c r="M171" s="618">
        <v>0</v>
      </c>
      <c r="N171" s="618">
        <v>0</v>
      </c>
      <c r="O171" s="618">
        <v>0</v>
      </c>
      <c r="P171" s="618">
        <v>0</v>
      </c>
      <c r="Q171" s="618">
        <v>0</v>
      </c>
      <c r="R171" s="618">
        <v>0</v>
      </c>
      <c r="S171" s="618">
        <v>0</v>
      </c>
      <c r="T171" s="618">
        <v>0</v>
      </c>
      <c r="U171" s="618">
        <v>0</v>
      </c>
      <c r="V171" s="618">
        <v>0</v>
      </c>
      <c r="W171" s="616">
        <f t="shared" ref="W171" si="84">SUM(K171:V171)</f>
        <v>4500</v>
      </c>
      <c r="Y171" s="287"/>
      <c r="Z171" s="287"/>
    </row>
    <row r="172" spans="3:26" s="63" customFormat="1" ht="12" outlineLevel="1" x14ac:dyDescent="0.2">
      <c r="C172" s="64"/>
      <c r="D172" s="566" t="s">
        <v>259</v>
      </c>
      <c r="E172" s="567" t="s">
        <v>697</v>
      </c>
      <c r="F172" s="568">
        <v>6</v>
      </c>
      <c r="G172" s="618">
        <v>2000</v>
      </c>
      <c r="H172" s="616">
        <f t="shared" si="83"/>
        <v>12000</v>
      </c>
      <c r="J172" s="617" t="s">
        <v>569</v>
      </c>
      <c r="K172" s="618">
        <v>0</v>
      </c>
      <c r="L172" s="618">
        <v>0</v>
      </c>
      <c r="M172" s="618">
        <v>2000</v>
      </c>
      <c r="N172" s="618">
        <v>2000</v>
      </c>
      <c r="O172" s="618">
        <v>2000</v>
      </c>
      <c r="P172" s="618">
        <v>0</v>
      </c>
      <c r="Q172" s="618">
        <v>0</v>
      </c>
      <c r="R172" s="618">
        <v>2000</v>
      </c>
      <c r="S172" s="618">
        <v>2000</v>
      </c>
      <c r="T172" s="618">
        <v>2000</v>
      </c>
      <c r="U172" s="618">
        <v>0</v>
      </c>
      <c r="V172" s="618">
        <v>0</v>
      </c>
      <c r="W172" s="616">
        <f t="shared" si="82"/>
        <v>12000</v>
      </c>
      <c r="Y172" s="287"/>
      <c r="Z172" s="287"/>
    </row>
    <row r="173" spans="3:26" s="63" customFormat="1" ht="12" outlineLevel="1" x14ac:dyDescent="0.2">
      <c r="C173" s="64"/>
      <c r="D173" s="566" t="s">
        <v>259</v>
      </c>
      <c r="E173" s="567" t="s">
        <v>694</v>
      </c>
      <c r="F173" s="568">
        <v>6</v>
      </c>
      <c r="G173" s="618">
        <v>750</v>
      </c>
      <c r="H173" s="616">
        <f t="shared" si="83"/>
        <v>4500</v>
      </c>
      <c r="J173" s="617" t="s">
        <v>569</v>
      </c>
      <c r="K173" s="618">
        <v>0</v>
      </c>
      <c r="L173" s="618">
        <v>0</v>
      </c>
      <c r="M173" s="618">
        <v>750</v>
      </c>
      <c r="N173" s="618">
        <v>750</v>
      </c>
      <c r="O173" s="618">
        <v>750</v>
      </c>
      <c r="P173" s="618">
        <v>0</v>
      </c>
      <c r="Q173" s="618">
        <v>0</v>
      </c>
      <c r="R173" s="618">
        <v>750</v>
      </c>
      <c r="S173" s="618">
        <v>750</v>
      </c>
      <c r="T173" s="618">
        <v>750</v>
      </c>
      <c r="U173" s="618">
        <v>0</v>
      </c>
      <c r="V173" s="618">
        <v>0</v>
      </c>
      <c r="W173" s="616">
        <f t="shared" si="82"/>
        <v>4500</v>
      </c>
      <c r="Y173" s="287"/>
      <c r="Z173" s="287"/>
    </row>
    <row r="174" spans="3:26" s="63" customFormat="1" ht="12" outlineLevel="1" x14ac:dyDescent="0.2">
      <c r="C174" s="64"/>
      <c r="D174" s="566" t="s">
        <v>259</v>
      </c>
      <c r="E174" s="567" t="s">
        <v>698</v>
      </c>
      <c r="F174" s="568">
        <v>1</v>
      </c>
      <c r="G174" s="618">
        <v>4000</v>
      </c>
      <c r="H174" s="616">
        <f t="shared" si="83"/>
        <v>4000</v>
      </c>
      <c r="J174" s="617" t="s">
        <v>569</v>
      </c>
      <c r="K174" s="618">
        <v>0</v>
      </c>
      <c r="L174" s="618">
        <v>0</v>
      </c>
      <c r="M174" s="618">
        <v>0</v>
      </c>
      <c r="N174" s="618">
        <v>0</v>
      </c>
      <c r="O174" s="618">
        <v>0</v>
      </c>
      <c r="P174" s="618">
        <v>0</v>
      </c>
      <c r="Q174" s="618">
        <v>4000</v>
      </c>
      <c r="R174" s="618">
        <v>0</v>
      </c>
      <c r="S174" s="618">
        <v>0</v>
      </c>
      <c r="T174" s="618">
        <v>0</v>
      </c>
      <c r="U174" s="618">
        <v>0</v>
      </c>
      <c r="V174" s="618">
        <v>0</v>
      </c>
      <c r="W174" s="616">
        <f t="shared" si="82"/>
        <v>4000</v>
      </c>
      <c r="Y174" s="287"/>
      <c r="Z174" s="287"/>
    </row>
    <row r="175" spans="3:26" s="63" customFormat="1" ht="12" outlineLevel="1" x14ac:dyDescent="0.2">
      <c r="C175" s="64"/>
      <c r="D175" s="566" t="s">
        <v>259</v>
      </c>
      <c r="E175" s="567" t="s">
        <v>699</v>
      </c>
      <c r="F175" s="568">
        <v>1</v>
      </c>
      <c r="G175" s="618">
        <v>3000</v>
      </c>
      <c r="H175" s="616">
        <f t="shared" si="83"/>
        <v>3000</v>
      </c>
      <c r="J175" s="617" t="s">
        <v>569</v>
      </c>
      <c r="K175" s="618">
        <v>0</v>
      </c>
      <c r="L175" s="618">
        <v>0</v>
      </c>
      <c r="M175" s="618">
        <v>0</v>
      </c>
      <c r="N175" s="618">
        <v>0</v>
      </c>
      <c r="O175" s="618">
        <v>0</v>
      </c>
      <c r="P175" s="618">
        <v>0</v>
      </c>
      <c r="Q175" s="618">
        <v>0</v>
      </c>
      <c r="R175" s="618">
        <v>0</v>
      </c>
      <c r="S175" s="618">
        <v>0</v>
      </c>
      <c r="T175" s="618">
        <v>3000</v>
      </c>
      <c r="U175" s="618">
        <v>0</v>
      </c>
      <c r="V175" s="618">
        <v>0</v>
      </c>
      <c r="W175" s="616">
        <f t="shared" si="82"/>
        <v>3000</v>
      </c>
      <c r="Y175" s="287"/>
      <c r="Z175" s="287"/>
    </row>
    <row r="176" spans="3:26" s="63" customFormat="1" ht="12" outlineLevel="1" x14ac:dyDescent="0.2">
      <c r="C176" s="64"/>
      <c r="D176" s="566" t="s">
        <v>258</v>
      </c>
      <c r="E176" s="567" t="s">
        <v>514</v>
      </c>
      <c r="F176" s="568"/>
      <c r="G176" s="618">
        <v>0</v>
      </c>
      <c r="H176" s="616">
        <f t="shared" si="83"/>
        <v>0</v>
      </c>
      <c r="J176" s="617" t="s">
        <v>569</v>
      </c>
      <c r="K176" s="618">
        <v>0</v>
      </c>
      <c r="L176" s="618">
        <v>0</v>
      </c>
      <c r="M176" s="618">
        <v>0</v>
      </c>
      <c r="N176" s="618">
        <v>0</v>
      </c>
      <c r="O176" s="618">
        <v>0</v>
      </c>
      <c r="P176" s="618">
        <v>0</v>
      </c>
      <c r="Q176" s="618">
        <v>0</v>
      </c>
      <c r="R176" s="618">
        <v>0</v>
      </c>
      <c r="S176" s="618">
        <v>0</v>
      </c>
      <c r="T176" s="618">
        <v>0</v>
      </c>
      <c r="U176" s="618">
        <v>0</v>
      </c>
      <c r="V176" s="618">
        <v>0</v>
      </c>
      <c r="W176" s="616">
        <f t="shared" si="82"/>
        <v>0</v>
      </c>
      <c r="Y176" s="287"/>
      <c r="Z176" s="287"/>
    </row>
    <row r="177" spans="3:26" s="63" customFormat="1" ht="12" outlineLevel="1" x14ac:dyDescent="0.2">
      <c r="C177" s="64"/>
      <c r="D177" s="566" t="s">
        <v>258</v>
      </c>
      <c r="E177" s="567"/>
      <c r="F177" s="568">
        <v>0</v>
      </c>
      <c r="G177" s="618">
        <v>0</v>
      </c>
      <c r="H177" s="616">
        <f t="shared" si="83"/>
        <v>0</v>
      </c>
      <c r="J177" s="617" t="s">
        <v>569</v>
      </c>
      <c r="K177" s="618">
        <v>0</v>
      </c>
      <c r="L177" s="618">
        <v>0</v>
      </c>
      <c r="M177" s="618">
        <v>0</v>
      </c>
      <c r="N177" s="618">
        <v>0</v>
      </c>
      <c r="O177" s="618">
        <v>0</v>
      </c>
      <c r="P177" s="618">
        <v>0</v>
      </c>
      <c r="Q177" s="618">
        <v>0</v>
      </c>
      <c r="R177" s="618">
        <v>0</v>
      </c>
      <c r="S177" s="618">
        <v>0</v>
      </c>
      <c r="T177" s="618">
        <v>0</v>
      </c>
      <c r="U177" s="618">
        <v>0</v>
      </c>
      <c r="V177" s="618">
        <v>0</v>
      </c>
      <c r="W177" s="616">
        <f t="shared" si="82"/>
        <v>0</v>
      </c>
      <c r="Y177" s="287"/>
      <c r="Z177" s="287"/>
    </row>
    <row r="178" spans="3:26" s="63" customFormat="1" ht="3.6" customHeight="1" outlineLevel="1" thickBot="1" x14ac:dyDescent="0.25">
      <c r="C178" s="64"/>
      <c r="D178" s="294"/>
      <c r="E178" s="299"/>
      <c r="F178" s="281"/>
      <c r="G178" s="563"/>
      <c r="H178" s="556"/>
      <c r="J178" s="619"/>
      <c r="K178" s="563"/>
      <c r="L178" s="563"/>
      <c r="M178" s="563"/>
      <c r="N178" s="563"/>
      <c r="O178" s="563"/>
      <c r="P178" s="563"/>
      <c r="Q178" s="563"/>
      <c r="R178" s="563"/>
      <c r="S178" s="563"/>
      <c r="T178" s="563"/>
      <c r="U178" s="563"/>
      <c r="V178" s="563"/>
      <c r="W178" s="556"/>
      <c r="Y178" s="287"/>
      <c r="Z178" s="287"/>
    </row>
    <row r="179" spans="3:26" s="63" customFormat="1" ht="12.75" thickBot="1" x14ac:dyDescent="0.25">
      <c r="C179" s="64"/>
      <c r="D179" s="292"/>
      <c r="E179" s="298"/>
      <c r="F179" s="282" t="str">
        <f>E166</f>
        <v>Renting Land and Buildings</v>
      </c>
      <c r="G179" s="564">
        <f>C166</f>
        <v>6441</v>
      </c>
      <c r="H179" s="557">
        <f>SUBTOTAL(9,H167:H178)</f>
        <v>103756</v>
      </c>
      <c r="J179" s="624"/>
      <c r="K179" s="622">
        <f t="shared" ref="K179:W179" si="85">SUBTOTAL(9,K167:K178)</f>
        <v>5213</v>
      </c>
      <c r="L179" s="622">
        <f t="shared" si="85"/>
        <v>22913</v>
      </c>
      <c r="M179" s="622">
        <f t="shared" si="85"/>
        <v>7963</v>
      </c>
      <c r="N179" s="622">
        <f t="shared" si="85"/>
        <v>7963</v>
      </c>
      <c r="O179" s="622">
        <f t="shared" si="85"/>
        <v>7963</v>
      </c>
      <c r="P179" s="622">
        <f t="shared" si="85"/>
        <v>5213</v>
      </c>
      <c r="Q179" s="622">
        <f t="shared" si="85"/>
        <v>9213</v>
      </c>
      <c r="R179" s="622">
        <f t="shared" si="85"/>
        <v>7963</v>
      </c>
      <c r="S179" s="622">
        <f t="shared" si="85"/>
        <v>7963</v>
      </c>
      <c r="T179" s="622">
        <f t="shared" si="85"/>
        <v>10963</v>
      </c>
      <c r="U179" s="622">
        <f t="shared" si="85"/>
        <v>5213</v>
      </c>
      <c r="V179" s="622">
        <f t="shared" si="85"/>
        <v>5213</v>
      </c>
      <c r="W179" s="557">
        <f t="shared" si="85"/>
        <v>103756</v>
      </c>
      <c r="X179" s="63" t="str">
        <f>IF(H179=W179,"OK","Error")</f>
        <v>OK</v>
      </c>
      <c r="Y179" s="287">
        <v>0</v>
      </c>
      <c r="Z179" s="287">
        <f>H179-Y179</f>
        <v>103756</v>
      </c>
    </row>
    <row r="180" spans="3:26" s="63" customFormat="1" ht="12" x14ac:dyDescent="0.2">
      <c r="C180" s="64"/>
      <c r="D180" s="292"/>
      <c r="E180" s="298"/>
      <c r="F180" s="279"/>
      <c r="G180" s="561"/>
      <c r="H180" s="553"/>
      <c r="J180" s="613"/>
      <c r="K180" s="561"/>
      <c r="L180" s="561"/>
      <c r="M180" s="561"/>
      <c r="N180" s="561"/>
      <c r="O180" s="561"/>
      <c r="P180" s="561"/>
      <c r="Q180" s="561"/>
      <c r="R180" s="561"/>
      <c r="S180" s="561"/>
      <c r="T180" s="561"/>
      <c r="U180" s="561"/>
      <c r="V180" s="561"/>
      <c r="W180" s="553"/>
      <c r="Y180" s="287"/>
      <c r="Z180" s="287"/>
    </row>
    <row r="181" spans="3:26" s="63" customFormat="1" ht="12" x14ac:dyDescent="0.2">
      <c r="C181" s="66" t="s">
        <v>101</v>
      </c>
      <c r="D181" s="292"/>
      <c r="E181" s="298"/>
      <c r="F181" s="279"/>
      <c r="G181" s="561"/>
      <c r="H181" s="553"/>
      <c r="J181" s="613"/>
      <c r="K181" s="561"/>
      <c r="L181" s="561"/>
      <c r="M181" s="561"/>
      <c r="N181" s="561"/>
      <c r="O181" s="561"/>
      <c r="P181" s="561"/>
      <c r="Q181" s="561"/>
      <c r="R181" s="561"/>
      <c r="S181" s="561"/>
      <c r="T181" s="561"/>
      <c r="U181" s="561"/>
      <c r="V181" s="561"/>
      <c r="W181" s="553"/>
      <c r="Y181" s="287"/>
      <c r="Z181" s="287"/>
    </row>
    <row r="182" spans="3:26" s="63" customFormat="1" ht="12" outlineLevel="1" x14ac:dyDescent="0.2">
      <c r="C182" s="670">
        <v>6519</v>
      </c>
      <c r="D182" s="292"/>
      <c r="E182" s="298" t="s">
        <v>23</v>
      </c>
      <c r="F182" s="279"/>
      <c r="G182" s="561"/>
      <c r="H182" s="553"/>
      <c r="J182" s="613"/>
      <c r="K182" s="561"/>
      <c r="L182" s="561"/>
      <c r="M182" s="561"/>
      <c r="N182" s="561"/>
      <c r="O182" s="561"/>
      <c r="P182" s="561"/>
      <c r="Q182" s="561"/>
      <c r="R182" s="561"/>
      <c r="S182" s="561"/>
      <c r="T182" s="561"/>
      <c r="U182" s="561"/>
      <c r="V182" s="561"/>
      <c r="W182" s="553"/>
      <c r="Y182" s="287"/>
      <c r="Z182" s="287"/>
    </row>
    <row r="183" spans="3:26" s="63" customFormat="1" ht="12" outlineLevel="1" x14ac:dyDescent="0.2">
      <c r="C183" s="64"/>
      <c r="D183" s="566" t="s">
        <v>275</v>
      </c>
      <c r="E183" s="567" t="s">
        <v>386</v>
      </c>
      <c r="F183" s="568">
        <v>10</v>
      </c>
      <c r="G183" s="618">
        <v>210</v>
      </c>
      <c r="H183" s="616">
        <f>IF(J183="NO", F183*G183,SUM(J183:V183))</f>
        <v>0</v>
      </c>
      <c r="J183" s="617" t="s">
        <v>569</v>
      </c>
      <c r="K183" s="618">
        <v>0</v>
      </c>
      <c r="L183" s="618">
        <v>0</v>
      </c>
      <c r="M183" s="618">
        <v>0</v>
      </c>
      <c r="N183" s="618">
        <v>0</v>
      </c>
      <c r="O183" s="618">
        <v>0</v>
      </c>
      <c r="P183" s="618">
        <v>0</v>
      </c>
      <c r="Q183" s="618">
        <v>0</v>
      </c>
      <c r="R183" s="618">
        <v>0</v>
      </c>
      <c r="S183" s="618">
        <v>0</v>
      </c>
      <c r="T183" s="618">
        <v>0</v>
      </c>
      <c r="U183" s="618">
        <v>0</v>
      </c>
      <c r="V183" s="618">
        <v>0</v>
      </c>
      <c r="W183" s="616">
        <f t="shared" ref="W183:W185" si="86">SUM(K183:V183)</f>
        <v>0</v>
      </c>
      <c r="Y183" s="287"/>
      <c r="Z183" s="287"/>
    </row>
    <row r="184" spans="3:26" s="63" customFormat="1" ht="12" outlineLevel="1" x14ac:dyDescent="0.2">
      <c r="C184" s="64"/>
      <c r="D184" s="566" t="s">
        <v>258</v>
      </c>
      <c r="E184" s="567" t="s">
        <v>515</v>
      </c>
      <c r="F184" s="568">
        <v>0</v>
      </c>
      <c r="G184" s="618">
        <v>0</v>
      </c>
      <c r="H184" s="616">
        <f t="shared" ref="H184:H185" si="87">IF(J184="NO", F184*G184,SUM(J184:V184))</f>
        <v>0</v>
      </c>
      <c r="J184" s="617" t="s">
        <v>569</v>
      </c>
      <c r="K184" s="618">
        <f t="shared" ref="K184:V185" si="88">$F184*$G184/12</f>
        <v>0</v>
      </c>
      <c r="L184" s="618">
        <f t="shared" si="88"/>
        <v>0</v>
      </c>
      <c r="M184" s="618">
        <f t="shared" si="88"/>
        <v>0</v>
      </c>
      <c r="N184" s="618">
        <f t="shared" si="88"/>
        <v>0</v>
      </c>
      <c r="O184" s="618">
        <f t="shared" si="88"/>
        <v>0</v>
      </c>
      <c r="P184" s="618">
        <f t="shared" si="88"/>
        <v>0</v>
      </c>
      <c r="Q184" s="618">
        <f t="shared" si="88"/>
        <v>0</v>
      </c>
      <c r="R184" s="618">
        <f t="shared" si="88"/>
        <v>0</v>
      </c>
      <c r="S184" s="618">
        <f t="shared" si="88"/>
        <v>0</v>
      </c>
      <c r="T184" s="618">
        <f t="shared" si="88"/>
        <v>0</v>
      </c>
      <c r="U184" s="618">
        <f t="shared" si="88"/>
        <v>0</v>
      </c>
      <c r="V184" s="618">
        <f t="shared" si="88"/>
        <v>0</v>
      </c>
      <c r="W184" s="616">
        <f t="shared" si="86"/>
        <v>0</v>
      </c>
      <c r="Y184" s="287"/>
      <c r="Z184" s="287"/>
    </row>
    <row r="185" spans="3:26" s="63" customFormat="1" ht="12" outlineLevel="1" x14ac:dyDescent="0.2">
      <c r="C185" s="64"/>
      <c r="D185" s="566" t="s">
        <v>258</v>
      </c>
      <c r="E185" s="567"/>
      <c r="F185" s="568">
        <v>0</v>
      </c>
      <c r="G185" s="618">
        <v>0</v>
      </c>
      <c r="H185" s="616">
        <f t="shared" si="87"/>
        <v>0</v>
      </c>
      <c r="J185" s="617" t="s">
        <v>569</v>
      </c>
      <c r="K185" s="618">
        <f t="shared" si="88"/>
        <v>0</v>
      </c>
      <c r="L185" s="618">
        <f t="shared" si="88"/>
        <v>0</v>
      </c>
      <c r="M185" s="618">
        <f t="shared" si="88"/>
        <v>0</v>
      </c>
      <c r="N185" s="618">
        <f t="shared" si="88"/>
        <v>0</v>
      </c>
      <c r="O185" s="618">
        <f t="shared" si="88"/>
        <v>0</v>
      </c>
      <c r="P185" s="618">
        <f t="shared" si="88"/>
        <v>0</v>
      </c>
      <c r="Q185" s="618">
        <f t="shared" si="88"/>
        <v>0</v>
      </c>
      <c r="R185" s="618">
        <f t="shared" si="88"/>
        <v>0</v>
      </c>
      <c r="S185" s="618">
        <f t="shared" si="88"/>
        <v>0</v>
      </c>
      <c r="T185" s="618">
        <f t="shared" si="88"/>
        <v>0</v>
      </c>
      <c r="U185" s="618">
        <f t="shared" si="88"/>
        <v>0</v>
      </c>
      <c r="V185" s="618">
        <f t="shared" si="88"/>
        <v>0</v>
      </c>
      <c r="W185" s="616">
        <f t="shared" si="86"/>
        <v>0</v>
      </c>
      <c r="Y185" s="287"/>
      <c r="Z185" s="287"/>
    </row>
    <row r="186" spans="3:26" s="63" customFormat="1" ht="3.6" customHeight="1" outlineLevel="1" thickBot="1" x14ac:dyDescent="0.25">
      <c r="C186" s="64"/>
      <c r="D186" s="294"/>
      <c r="E186" s="299"/>
      <c r="F186" s="281"/>
      <c r="G186" s="563"/>
      <c r="H186" s="556"/>
      <c r="J186" s="619"/>
      <c r="K186" s="563"/>
      <c r="L186" s="563"/>
      <c r="M186" s="563"/>
      <c r="N186" s="563"/>
      <c r="O186" s="563"/>
      <c r="P186" s="563"/>
      <c r="Q186" s="563"/>
      <c r="R186" s="563"/>
      <c r="S186" s="563"/>
      <c r="T186" s="563"/>
      <c r="U186" s="563"/>
      <c r="V186" s="563"/>
      <c r="W186" s="556"/>
      <c r="Y186" s="287"/>
      <c r="Z186" s="287"/>
    </row>
    <row r="187" spans="3:26" s="63" customFormat="1" ht="12.75" thickBot="1" x14ac:dyDescent="0.25">
      <c r="C187" s="64"/>
      <c r="D187" s="292"/>
      <c r="E187" s="298"/>
      <c r="F187" s="282" t="str">
        <f>E182</f>
        <v>Student Transportation Purchased From Other Source</v>
      </c>
      <c r="G187" s="564">
        <f>C182</f>
        <v>6519</v>
      </c>
      <c r="H187" s="557">
        <f>SUBTOTAL(9,H183:H186)</f>
        <v>0</v>
      </c>
      <c r="J187" s="624"/>
      <c r="K187" s="622">
        <f>SUBTOTAL(9,K183:K186)</f>
        <v>0</v>
      </c>
      <c r="L187" s="622">
        <f t="shared" ref="L187:V187" si="89">SUBTOTAL(9,L183:L186)</f>
        <v>0</v>
      </c>
      <c r="M187" s="622">
        <f t="shared" si="89"/>
        <v>0</v>
      </c>
      <c r="N187" s="622">
        <f t="shared" si="89"/>
        <v>0</v>
      </c>
      <c r="O187" s="622">
        <f t="shared" si="89"/>
        <v>0</v>
      </c>
      <c r="P187" s="622">
        <f t="shared" si="89"/>
        <v>0</v>
      </c>
      <c r="Q187" s="622">
        <f t="shared" si="89"/>
        <v>0</v>
      </c>
      <c r="R187" s="622">
        <f t="shared" si="89"/>
        <v>0</v>
      </c>
      <c r="S187" s="622">
        <f t="shared" si="89"/>
        <v>0</v>
      </c>
      <c r="T187" s="622">
        <f t="shared" si="89"/>
        <v>0</v>
      </c>
      <c r="U187" s="622">
        <f t="shared" si="89"/>
        <v>0</v>
      </c>
      <c r="V187" s="622">
        <f t="shared" si="89"/>
        <v>0</v>
      </c>
      <c r="W187" s="557">
        <f>SUBTOTAL(9,W183:W186)</f>
        <v>0</v>
      </c>
      <c r="X187" s="63" t="str">
        <f>IF(H187=W187,"OK","Error")</f>
        <v>OK</v>
      </c>
      <c r="Y187" s="287">
        <v>0</v>
      </c>
      <c r="Z187" s="287">
        <f>H187-Y187</f>
        <v>0</v>
      </c>
    </row>
    <row r="188" spans="3:26" s="63" customFormat="1" ht="12" outlineLevel="1" x14ac:dyDescent="0.2">
      <c r="C188" s="64"/>
      <c r="D188" s="292"/>
      <c r="E188" s="298"/>
      <c r="F188" s="279"/>
      <c r="G188" s="561"/>
      <c r="H188" s="553"/>
      <c r="J188" s="613"/>
      <c r="K188" s="561"/>
      <c r="L188" s="561"/>
      <c r="M188" s="561"/>
      <c r="N188" s="561"/>
      <c r="O188" s="561"/>
      <c r="P188" s="561"/>
      <c r="Q188" s="561"/>
      <c r="R188" s="561"/>
      <c r="S188" s="561"/>
      <c r="T188" s="561"/>
      <c r="U188" s="561"/>
      <c r="V188" s="561"/>
      <c r="W188" s="553"/>
      <c r="Y188" s="287"/>
      <c r="Z188" s="287"/>
    </row>
    <row r="189" spans="3:26" s="63" customFormat="1" ht="12" outlineLevel="1" x14ac:dyDescent="0.2">
      <c r="C189" s="670">
        <v>6521</v>
      </c>
      <c r="D189" s="292"/>
      <c r="E189" s="298" t="s">
        <v>24</v>
      </c>
      <c r="F189" s="279"/>
      <c r="G189" s="561"/>
      <c r="H189" s="553"/>
      <c r="J189" s="613"/>
      <c r="K189" s="561"/>
      <c r="L189" s="561"/>
      <c r="M189" s="561"/>
      <c r="N189" s="561"/>
      <c r="O189" s="561"/>
      <c r="P189" s="561"/>
      <c r="Q189" s="561"/>
      <c r="R189" s="561"/>
      <c r="S189" s="561"/>
      <c r="T189" s="561"/>
      <c r="U189" s="561"/>
      <c r="V189" s="561"/>
      <c r="W189" s="553"/>
      <c r="Y189" s="287"/>
      <c r="Z189" s="287"/>
    </row>
    <row r="190" spans="3:26" s="63" customFormat="1" ht="12" outlineLevel="1" x14ac:dyDescent="0.2">
      <c r="C190" s="64"/>
      <c r="D190" s="566" t="s">
        <v>259</v>
      </c>
      <c r="E190" s="567" t="s">
        <v>700</v>
      </c>
      <c r="F190" s="568">
        <f>AVERAGE('Rev &amp; Enroll'!$Q$24:$AB$24)</f>
        <v>1000</v>
      </c>
      <c r="G190" s="674">
        <f>1.3*1.1</f>
        <v>1.4300000000000002</v>
      </c>
      <c r="H190" s="616">
        <f>IF(J190="NO", F190*G190,SUM(J190:V190))</f>
        <v>1430.0000000000002</v>
      </c>
      <c r="J190" s="617" t="s">
        <v>564</v>
      </c>
      <c r="K190" s="618">
        <f>$F190*$G190/12</f>
        <v>119.16666666666669</v>
      </c>
      <c r="L190" s="618">
        <f t="shared" ref="L190:V191" si="90">$F190*$G190/12</f>
        <v>119.16666666666669</v>
      </c>
      <c r="M190" s="618">
        <f t="shared" si="90"/>
        <v>119.16666666666669</v>
      </c>
      <c r="N190" s="618">
        <f t="shared" si="90"/>
        <v>119.16666666666669</v>
      </c>
      <c r="O190" s="618">
        <f t="shared" si="90"/>
        <v>119.16666666666669</v>
      </c>
      <c r="P190" s="618">
        <f t="shared" si="90"/>
        <v>119.16666666666669</v>
      </c>
      <c r="Q190" s="618">
        <f t="shared" si="90"/>
        <v>119.16666666666669</v>
      </c>
      <c r="R190" s="618">
        <f t="shared" si="90"/>
        <v>119.16666666666669</v>
      </c>
      <c r="S190" s="618">
        <f t="shared" si="90"/>
        <v>119.16666666666669</v>
      </c>
      <c r="T190" s="618">
        <f t="shared" si="90"/>
        <v>119.16666666666669</v>
      </c>
      <c r="U190" s="618">
        <f t="shared" si="90"/>
        <v>119.16666666666669</v>
      </c>
      <c r="V190" s="618">
        <f t="shared" si="90"/>
        <v>119.16666666666669</v>
      </c>
      <c r="W190" s="616">
        <f t="shared" ref="W190:W191" si="91">SUM(K190:V190)</f>
        <v>1430.0000000000007</v>
      </c>
      <c r="Y190" s="287"/>
      <c r="Z190" s="287"/>
    </row>
    <row r="191" spans="3:26" s="63" customFormat="1" ht="12" outlineLevel="1" x14ac:dyDescent="0.2">
      <c r="C191" s="64"/>
      <c r="D191" s="566" t="s">
        <v>259</v>
      </c>
      <c r="E191" s="567" t="s">
        <v>703</v>
      </c>
      <c r="F191" s="568">
        <v>1</v>
      </c>
      <c r="G191" s="618">
        <v>350</v>
      </c>
      <c r="H191" s="616">
        <f t="shared" ref="H191" si="92">IF(J191="NO", F191*G191,SUM(J191:V191))</f>
        <v>350</v>
      </c>
      <c r="J191" s="617" t="s">
        <v>564</v>
      </c>
      <c r="K191" s="618">
        <f>$F191*$G191/12</f>
        <v>29.166666666666668</v>
      </c>
      <c r="L191" s="618">
        <f t="shared" si="90"/>
        <v>29.166666666666668</v>
      </c>
      <c r="M191" s="618">
        <f t="shared" si="90"/>
        <v>29.166666666666668</v>
      </c>
      <c r="N191" s="618">
        <f t="shared" si="90"/>
        <v>29.166666666666668</v>
      </c>
      <c r="O191" s="618">
        <f t="shared" si="90"/>
        <v>29.166666666666668</v>
      </c>
      <c r="P191" s="618">
        <f t="shared" si="90"/>
        <v>29.166666666666668</v>
      </c>
      <c r="Q191" s="618">
        <f t="shared" si="90"/>
        <v>29.166666666666668</v>
      </c>
      <c r="R191" s="618">
        <f t="shared" si="90"/>
        <v>29.166666666666668</v>
      </c>
      <c r="S191" s="618">
        <f t="shared" si="90"/>
        <v>29.166666666666668</v>
      </c>
      <c r="T191" s="618">
        <f t="shared" si="90"/>
        <v>29.166666666666668</v>
      </c>
      <c r="U191" s="618">
        <f t="shared" si="90"/>
        <v>29.166666666666668</v>
      </c>
      <c r="V191" s="618">
        <f t="shared" si="90"/>
        <v>29.166666666666668</v>
      </c>
      <c r="W191" s="616">
        <f t="shared" si="91"/>
        <v>350.00000000000006</v>
      </c>
      <c r="Y191" s="287"/>
      <c r="Z191" s="287"/>
    </row>
    <row r="192" spans="3:26" s="63" customFormat="1" ht="3.6" customHeight="1" outlineLevel="1" thickBot="1" x14ac:dyDescent="0.25">
      <c r="C192" s="64"/>
      <c r="D192" s="294"/>
      <c r="E192" s="299"/>
      <c r="F192" s="281"/>
      <c r="G192" s="563"/>
      <c r="H192" s="616">
        <f t="shared" ref="H192" si="93">IF(J192="NO", F192*G192,SUM(J192:V192))</f>
        <v>0</v>
      </c>
      <c r="J192" s="626" t="s">
        <v>564</v>
      </c>
      <c r="K192" s="627">
        <v>0</v>
      </c>
      <c r="L192" s="627">
        <v>0</v>
      </c>
      <c r="M192" s="627">
        <v>0</v>
      </c>
      <c r="N192" s="627">
        <v>0</v>
      </c>
      <c r="O192" s="627">
        <v>0</v>
      </c>
      <c r="P192" s="627">
        <v>0</v>
      </c>
      <c r="Q192" s="627">
        <v>0</v>
      </c>
      <c r="R192" s="627">
        <v>0</v>
      </c>
      <c r="S192" s="627">
        <v>0</v>
      </c>
      <c r="T192" s="627">
        <v>0</v>
      </c>
      <c r="U192" s="627">
        <v>0</v>
      </c>
      <c r="V192" s="627">
        <v>0</v>
      </c>
      <c r="W192" s="555">
        <f t="shared" ref="W192" si="94">U192*V192</f>
        <v>0</v>
      </c>
      <c r="Y192" s="287"/>
      <c r="Z192" s="287"/>
    </row>
    <row r="193" spans="3:26" s="63" customFormat="1" ht="12.75" thickBot="1" x14ac:dyDescent="0.25">
      <c r="C193" s="64"/>
      <c r="D193" s="292"/>
      <c r="E193" s="298"/>
      <c r="F193" s="282" t="str">
        <f>E189</f>
        <v>Property Insurance ''Business Owners''</v>
      </c>
      <c r="G193" s="564">
        <f>C189</f>
        <v>6521</v>
      </c>
      <c r="H193" s="557">
        <f>SUBTOTAL(9,H190:H192)</f>
        <v>1780.0000000000002</v>
      </c>
      <c r="J193" s="624"/>
      <c r="K193" s="622">
        <f>SUBTOTAL(9,K190:K192)</f>
        <v>148.33333333333334</v>
      </c>
      <c r="L193" s="622">
        <f t="shared" ref="L193:V193" si="95">SUBTOTAL(9,L190:L192)</f>
        <v>148.33333333333334</v>
      </c>
      <c r="M193" s="622">
        <f t="shared" si="95"/>
        <v>148.33333333333334</v>
      </c>
      <c r="N193" s="622">
        <f t="shared" si="95"/>
        <v>148.33333333333334</v>
      </c>
      <c r="O193" s="622">
        <f t="shared" si="95"/>
        <v>148.33333333333334</v>
      </c>
      <c r="P193" s="622">
        <f t="shared" si="95"/>
        <v>148.33333333333334</v>
      </c>
      <c r="Q193" s="622">
        <f t="shared" si="95"/>
        <v>148.33333333333334</v>
      </c>
      <c r="R193" s="622">
        <f t="shared" si="95"/>
        <v>148.33333333333334</v>
      </c>
      <c r="S193" s="622">
        <f t="shared" si="95"/>
        <v>148.33333333333334</v>
      </c>
      <c r="T193" s="622">
        <f t="shared" si="95"/>
        <v>148.33333333333334</v>
      </c>
      <c r="U193" s="622">
        <f t="shared" si="95"/>
        <v>148.33333333333334</v>
      </c>
      <c r="V193" s="622">
        <f t="shared" si="95"/>
        <v>148.33333333333334</v>
      </c>
      <c r="W193" s="557">
        <f>SUBTOTAL(9,W190:W192)</f>
        <v>1780.0000000000007</v>
      </c>
      <c r="X193" s="63" t="str">
        <f>IF(H193=W193,"OK","Error")</f>
        <v>OK</v>
      </c>
      <c r="Y193" s="287">
        <v>0</v>
      </c>
      <c r="Z193" s="287">
        <f>H193-Y193</f>
        <v>1780.0000000000002</v>
      </c>
    </row>
    <row r="194" spans="3:26" s="63" customFormat="1" ht="12" outlineLevel="1" x14ac:dyDescent="0.2">
      <c r="C194" s="64"/>
      <c r="D194" s="292"/>
      <c r="E194" s="298"/>
      <c r="F194" s="279"/>
      <c r="G194" s="561"/>
      <c r="H194" s="553"/>
      <c r="J194" s="613"/>
      <c r="K194" s="561"/>
      <c r="L194" s="561"/>
      <c r="M194" s="561"/>
      <c r="N194" s="561"/>
      <c r="O194" s="561"/>
      <c r="P194" s="561"/>
      <c r="Q194" s="561"/>
      <c r="R194" s="561"/>
      <c r="S194" s="561"/>
      <c r="T194" s="561"/>
      <c r="U194" s="561"/>
      <c r="V194" s="561"/>
      <c r="W194" s="553"/>
      <c r="Y194" s="287"/>
      <c r="Z194" s="287"/>
    </row>
    <row r="195" spans="3:26" s="63" customFormat="1" ht="12" outlineLevel="1" x14ac:dyDescent="0.2">
      <c r="C195" s="670">
        <v>6522</v>
      </c>
      <c r="D195" s="292"/>
      <c r="E195" s="298" t="s">
        <v>25</v>
      </c>
      <c r="F195" s="279"/>
      <c r="G195" s="561"/>
      <c r="H195" s="553"/>
      <c r="J195" s="613"/>
      <c r="K195" s="561"/>
      <c r="L195" s="561"/>
      <c r="M195" s="561"/>
      <c r="N195" s="561"/>
      <c r="O195" s="561"/>
      <c r="P195" s="561"/>
      <c r="Q195" s="561"/>
      <c r="R195" s="561"/>
      <c r="S195" s="561"/>
      <c r="T195" s="561"/>
      <c r="U195" s="561"/>
      <c r="V195" s="561"/>
      <c r="W195" s="553"/>
      <c r="Y195" s="287"/>
      <c r="Z195" s="287"/>
    </row>
    <row r="196" spans="3:26" s="63" customFormat="1" ht="12" outlineLevel="1" x14ac:dyDescent="0.2">
      <c r="C196" s="64"/>
      <c r="D196" s="566" t="s">
        <v>259</v>
      </c>
      <c r="E196" s="567" t="s">
        <v>701</v>
      </c>
      <c r="F196" s="568">
        <f>AVERAGE('Rev &amp; Enroll'!$Q$24:$AB$24)</f>
        <v>1000</v>
      </c>
      <c r="G196" s="674">
        <f>21.97*1.1</f>
        <v>24.167000000000002</v>
      </c>
      <c r="H196" s="616">
        <f>IF(J196="NO", F196*G196,SUM(J196:V196))</f>
        <v>24167.000000000004</v>
      </c>
      <c r="J196" s="617" t="s">
        <v>569</v>
      </c>
      <c r="K196" s="618">
        <f>$F196*$G196/12</f>
        <v>2013.9166666666667</v>
      </c>
      <c r="L196" s="618">
        <f t="shared" ref="L196:V197" si="96">$F196*$G196/12</f>
        <v>2013.9166666666667</v>
      </c>
      <c r="M196" s="618">
        <f t="shared" si="96"/>
        <v>2013.9166666666667</v>
      </c>
      <c r="N196" s="618">
        <f t="shared" si="96"/>
        <v>2013.9166666666667</v>
      </c>
      <c r="O196" s="618">
        <f t="shared" si="96"/>
        <v>2013.9166666666667</v>
      </c>
      <c r="P196" s="618">
        <f t="shared" si="96"/>
        <v>2013.9166666666667</v>
      </c>
      <c r="Q196" s="618">
        <f t="shared" si="96"/>
        <v>2013.9166666666667</v>
      </c>
      <c r="R196" s="618">
        <f t="shared" si="96"/>
        <v>2013.9166666666667</v>
      </c>
      <c r="S196" s="618">
        <f t="shared" si="96"/>
        <v>2013.9166666666667</v>
      </c>
      <c r="T196" s="618">
        <f t="shared" si="96"/>
        <v>2013.9166666666667</v>
      </c>
      <c r="U196" s="618">
        <f t="shared" si="96"/>
        <v>2013.9166666666667</v>
      </c>
      <c r="V196" s="618">
        <f t="shared" si="96"/>
        <v>2013.9166666666667</v>
      </c>
      <c r="W196" s="616">
        <f t="shared" ref="W196:W197" si="97">SUM(K196:V196)</f>
        <v>24167.000000000004</v>
      </c>
      <c r="Y196" s="287"/>
      <c r="Z196" s="287"/>
    </row>
    <row r="197" spans="3:26" s="63" customFormat="1" ht="12" outlineLevel="1" x14ac:dyDescent="0.2">
      <c r="C197" s="64"/>
      <c r="D197" s="566" t="s">
        <v>259</v>
      </c>
      <c r="E197" s="567" t="s">
        <v>704</v>
      </c>
      <c r="F197" s="568">
        <v>1</v>
      </c>
      <c r="G197" s="618">
        <v>6000</v>
      </c>
      <c r="H197" s="616">
        <f t="shared" ref="H197" si="98">IF(J197="NO", F197*G197,SUM(J197:V197))</f>
        <v>6000</v>
      </c>
      <c r="J197" s="617" t="s">
        <v>564</v>
      </c>
      <c r="K197" s="618">
        <f>$F197*$G197/12</f>
        <v>500</v>
      </c>
      <c r="L197" s="618">
        <f t="shared" si="96"/>
        <v>500</v>
      </c>
      <c r="M197" s="618">
        <f t="shared" si="96"/>
        <v>500</v>
      </c>
      <c r="N197" s="618">
        <f t="shared" si="96"/>
        <v>500</v>
      </c>
      <c r="O197" s="618">
        <f t="shared" si="96"/>
        <v>500</v>
      </c>
      <c r="P197" s="618">
        <f t="shared" si="96"/>
        <v>500</v>
      </c>
      <c r="Q197" s="618">
        <f t="shared" si="96"/>
        <v>500</v>
      </c>
      <c r="R197" s="618">
        <f t="shared" si="96"/>
        <v>500</v>
      </c>
      <c r="S197" s="618">
        <f t="shared" si="96"/>
        <v>500</v>
      </c>
      <c r="T197" s="618">
        <f t="shared" si="96"/>
        <v>500</v>
      </c>
      <c r="U197" s="618">
        <f t="shared" si="96"/>
        <v>500</v>
      </c>
      <c r="V197" s="618">
        <f t="shared" si="96"/>
        <v>500</v>
      </c>
      <c r="W197" s="616">
        <f t="shared" si="97"/>
        <v>6000</v>
      </c>
      <c r="Y197" s="287"/>
      <c r="Z197" s="287"/>
    </row>
    <row r="198" spans="3:26" s="63" customFormat="1" ht="3.6" customHeight="1" outlineLevel="1" thickBot="1" x14ac:dyDescent="0.25">
      <c r="C198" s="64"/>
      <c r="D198" s="294"/>
      <c r="E198" s="299"/>
      <c r="F198" s="281"/>
      <c r="G198" s="563"/>
      <c r="H198" s="556"/>
      <c r="J198" s="626" t="s">
        <v>564</v>
      </c>
      <c r="K198" s="627">
        <v>0</v>
      </c>
      <c r="L198" s="627">
        <v>0</v>
      </c>
      <c r="M198" s="627">
        <v>0</v>
      </c>
      <c r="N198" s="627">
        <v>0</v>
      </c>
      <c r="O198" s="627">
        <v>0</v>
      </c>
      <c r="P198" s="627">
        <v>0</v>
      </c>
      <c r="Q198" s="627">
        <v>0</v>
      </c>
      <c r="R198" s="627">
        <v>0</v>
      </c>
      <c r="S198" s="627">
        <v>0</v>
      </c>
      <c r="T198" s="627">
        <v>0</v>
      </c>
      <c r="U198" s="627">
        <v>0</v>
      </c>
      <c r="V198" s="627">
        <v>0</v>
      </c>
      <c r="W198" s="555">
        <f t="shared" ref="W198" si="99">U198*V198</f>
        <v>0</v>
      </c>
      <c r="Y198" s="287"/>
      <c r="Z198" s="287"/>
    </row>
    <row r="199" spans="3:26" s="63" customFormat="1" ht="12.75" thickBot="1" x14ac:dyDescent="0.25">
      <c r="C199" s="64"/>
      <c r="D199" s="292"/>
      <c r="E199" s="298"/>
      <c r="F199" s="282" t="str">
        <f>E195</f>
        <v>Liability Insurance ''Errors and Omissions''</v>
      </c>
      <c r="G199" s="564">
        <f>C195</f>
        <v>6522</v>
      </c>
      <c r="H199" s="557">
        <f>SUBTOTAL(9,H196:H198)</f>
        <v>30167.000000000004</v>
      </c>
      <c r="J199" s="624"/>
      <c r="K199" s="622">
        <f>SUBTOTAL(9,K196:K198)</f>
        <v>2513.916666666667</v>
      </c>
      <c r="L199" s="622">
        <f t="shared" ref="L199:V199" si="100">SUBTOTAL(9,L196:L198)</f>
        <v>2513.916666666667</v>
      </c>
      <c r="M199" s="622">
        <f t="shared" si="100"/>
        <v>2513.916666666667</v>
      </c>
      <c r="N199" s="622">
        <f t="shared" si="100"/>
        <v>2513.916666666667</v>
      </c>
      <c r="O199" s="622">
        <f t="shared" si="100"/>
        <v>2513.916666666667</v>
      </c>
      <c r="P199" s="622">
        <f t="shared" si="100"/>
        <v>2513.916666666667</v>
      </c>
      <c r="Q199" s="622">
        <f t="shared" si="100"/>
        <v>2513.916666666667</v>
      </c>
      <c r="R199" s="622">
        <f t="shared" si="100"/>
        <v>2513.916666666667</v>
      </c>
      <c r="S199" s="622">
        <f t="shared" si="100"/>
        <v>2513.916666666667</v>
      </c>
      <c r="T199" s="622">
        <f t="shared" si="100"/>
        <v>2513.916666666667</v>
      </c>
      <c r="U199" s="622">
        <f t="shared" si="100"/>
        <v>2513.916666666667</v>
      </c>
      <c r="V199" s="622">
        <f t="shared" si="100"/>
        <v>2513.916666666667</v>
      </c>
      <c r="W199" s="557">
        <f>SUBTOTAL(9,W196:W198)</f>
        <v>30167.000000000004</v>
      </c>
      <c r="X199" s="63" t="str">
        <f>IF(H199=W199,"OK","Error")</f>
        <v>OK</v>
      </c>
      <c r="Y199" s="287">
        <v>0</v>
      </c>
      <c r="Z199" s="287">
        <f>H199-Y199</f>
        <v>30167.000000000004</v>
      </c>
    </row>
    <row r="200" spans="3:26" s="63" customFormat="1" ht="12" outlineLevel="1" x14ac:dyDescent="0.2">
      <c r="C200" s="671"/>
      <c r="D200" s="292"/>
      <c r="E200" s="298"/>
      <c r="F200" s="279"/>
      <c r="G200" s="561"/>
      <c r="H200" s="553"/>
      <c r="J200" s="613"/>
      <c r="K200" s="561"/>
      <c r="L200" s="561"/>
      <c r="M200" s="561"/>
      <c r="N200" s="561"/>
      <c r="O200" s="561"/>
      <c r="P200" s="561"/>
      <c r="Q200" s="561"/>
      <c r="R200" s="561"/>
      <c r="S200" s="561"/>
      <c r="T200" s="561"/>
      <c r="U200" s="561"/>
      <c r="V200" s="561"/>
      <c r="W200" s="553"/>
      <c r="Y200" s="287"/>
      <c r="Z200" s="287"/>
    </row>
    <row r="201" spans="3:26" s="63" customFormat="1" ht="12" outlineLevel="1" x14ac:dyDescent="0.2">
      <c r="C201" s="670">
        <v>6523</v>
      </c>
      <c r="D201" s="292"/>
      <c r="E201" s="298" t="s">
        <v>26</v>
      </c>
      <c r="F201" s="279"/>
      <c r="G201" s="561"/>
      <c r="H201" s="553"/>
      <c r="J201" s="613"/>
      <c r="K201" s="561"/>
      <c r="L201" s="561"/>
      <c r="M201" s="561"/>
      <c r="N201" s="561"/>
      <c r="O201" s="561"/>
      <c r="P201" s="561"/>
      <c r="Q201" s="561"/>
      <c r="R201" s="561"/>
      <c r="S201" s="561"/>
      <c r="T201" s="561"/>
      <c r="U201" s="561"/>
      <c r="V201" s="561"/>
      <c r="W201" s="553"/>
      <c r="Y201" s="287"/>
      <c r="Z201" s="287"/>
    </row>
    <row r="202" spans="3:26" s="63" customFormat="1" ht="12" outlineLevel="1" x14ac:dyDescent="0.2">
      <c r="C202" s="64"/>
      <c r="D202" s="566" t="s">
        <v>259</v>
      </c>
      <c r="E202" s="567" t="s">
        <v>702</v>
      </c>
      <c r="F202" s="568">
        <f>AVERAGE('Rev &amp; Enroll'!$Q$24:$AB$24)</f>
        <v>1000</v>
      </c>
      <c r="G202" s="674">
        <f>10.36*1.1</f>
        <v>11.396000000000001</v>
      </c>
      <c r="H202" s="616">
        <f>IF(J202="NO", F202*G202,SUM(J202:V202))</f>
        <v>11395.999999999998</v>
      </c>
      <c r="J202" s="617" t="s">
        <v>569</v>
      </c>
      <c r="K202" s="618">
        <f>$F202*$G202/12</f>
        <v>949.66666666666663</v>
      </c>
      <c r="L202" s="618">
        <f t="shared" ref="L202:V203" si="101">$F202*$G202/12</f>
        <v>949.66666666666663</v>
      </c>
      <c r="M202" s="618">
        <f t="shared" si="101"/>
        <v>949.66666666666663</v>
      </c>
      <c r="N202" s="618">
        <f t="shared" si="101"/>
        <v>949.66666666666663</v>
      </c>
      <c r="O202" s="618">
        <f t="shared" si="101"/>
        <v>949.66666666666663</v>
      </c>
      <c r="P202" s="618">
        <f t="shared" si="101"/>
        <v>949.66666666666663</v>
      </c>
      <c r="Q202" s="618">
        <f t="shared" si="101"/>
        <v>949.66666666666663</v>
      </c>
      <c r="R202" s="618">
        <f t="shared" si="101"/>
        <v>949.66666666666663</v>
      </c>
      <c r="S202" s="618">
        <f t="shared" si="101"/>
        <v>949.66666666666663</v>
      </c>
      <c r="T202" s="618">
        <f t="shared" si="101"/>
        <v>949.66666666666663</v>
      </c>
      <c r="U202" s="618">
        <f t="shared" si="101"/>
        <v>949.66666666666663</v>
      </c>
      <c r="V202" s="618">
        <f t="shared" si="101"/>
        <v>949.66666666666663</v>
      </c>
      <c r="W202" s="616">
        <f t="shared" ref="W202:W203" si="102">SUM(K202:V202)</f>
        <v>11395.999999999998</v>
      </c>
      <c r="Y202" s="287"/>
      <c r="Z202" s="287"/>
    </row>
    <row r="203" spans="3:26" s="63" customFormat="1" ht="12" outlineLevel="1" x14ac:dyDescent="0.2">
      <c r="C203" s="64"/>
      <c r="D203" s="566" t="s">
        <v>259</v>
      </c>
      <c r="E203" s="567" t="s">
        <v>705</v>
      </c>
      <c r="F203" s="568">
        <v>1</v>
      </c>
      <c r="G203" s="618">
        <v>3000</v>
      </c>
      <c r="H203" s="616">
        <f t="shared" ref="H203" si="103">IF(J203="NO", F203*G203,SUM(J203:V203))</f>
        <v>3000</v>
      </c>
      <c r="J203" s="617" t="s">
        <v>564</v>
      </c>
      <c r="K203" s="618">
        <f>$F203*$G203/12</f>
        <v>250</v>
      </c>
      <c r="L203" s="618">
        <f t="shared" si="101"/>
        <v>250</v>
      </c>
      <c r="M203" s="618">
        <f t="shared" si="101"/>
        <v>250</v>
      </c>
      <c r="N203" s="618">
        <f t="shared" si="101"/>
        <v>250</v>
      </c>
      <c r="O203" s="618">
        <f t="shared" si="101"/>
        <v>250</v>
      </c>
      <c r="P203" s="618">
        <f t="shared" si="101"/>
        <v>250</v>
      </c>
      <c r="Q203" s="618">
        <f t="shared" si="101"/>
        <v>250</v>
      </c>
      <c r="R203" s="618">
        <f t="shared" si="101"/>
        <v>250</v>
      </c>
      <c r="S203" s="618">
        <f t="shared" si="101"/>
        <v>250</v>
      </c>
      <c r="T203" s="618">
        <f t="shared" si="101"/>
        <v>250</v>
      </c>
      <c r="U203" s="618">
        <f t="shared" si="101"/>
        <v>250</v>
      </c>
      <c r="V203" s="618">
        <f t="shared" si="101"/>
        <v>250</v>
      </c>
      <c r="W203" s="616">
        <f t="shared" si="102"/>
        <v>3000</v>
      </c>
      <c r="Y203" s="287"/>
      <c r="Z203" s="287"/>
    </row>
    <row r="204" spans="3:26" s="63" customFormat="1" ht="3.6" customHeight="1" outlineLevel="1" thickBot="1" x14ac:dyDescent="0.25">
      <c r="C204" s="670"/>
      <c r="D204" s="294"/>
      <c r="E204" s="299"/>
      <c r="F204" s="281"/>
      <c r="G204" s="563"/>
      <c r="H204" s="556"/>
      <c r="J204" s="626" t="s">
        <v>564</v>
      </c>
      <c r="K204" s="627">
        <v>0</v>
      </c>
      <c r="L204" s="627">
        <v>0</v>
      </c>
      <c r="M204" s="627">
        <v>0</v>
      </c>
      <c r="N204" s="627">
        <v>0</v>
      </c>
      <c r="O204" s="627">
        <v>0</v>
      </c>
      <c r="P204" s="627">
        <v>0</v>
      </c>
      <c r="Q204" s="627">
        <v>0</v>
      </c>
      <c r="R204" s="627">
        <v>0</v>
      </c>
      <c r="S204" s="627">
        <v>0</v>
      </c>
      <c r="T204" s="627">
        <v>0</v>
      </c>
      <c r="U204" s="627">
        <v>0</v>
      </c>
      <c r="V204" s="627">
        <v>0</v>
      </c>
      <c r="W204" s="555">
        <f t="shared" ref="W204" si="104">U204*V204</f>
        <v>0</v>
      </c>
      <c r="Y204" s="287"/>
      <c r="Z204" s="287"/>
    </row>
    <row r="205" spans="3:26" s="63" customFormat="1" ht="12.75" thickBot="1" x14ac:dyDescent="0.25">
      <c r="C205" s="671"/>
      <c r="D205" s="292"/>
      <c r="E205" s="298"/>
      <c r="F205" s="282" t="str">
        <f>E201</f>
        <v>Fidelity / Other Insurance ''Umbrella''</v>
      </c>
      <c r="G205" s="564">
        <f>C201</f>
        <v>6523</v>
      </c>
      <c r="H205" s="557">
        <f>SUBTOTAL(9,H202:H204)</f>
        <v>14395.999999999998</v>
      </c>
      <c r="J205" s="624"/>
      <c r="K205" s="622">
        <f>SUBTOTAL(9,K202:K204)</f>
        <v>1199.6666666666665</v>
      </c>
      <c r="L205" s="622">
        <f t="shared" ref="L205:V205" si="105">SUBTOTAL(9,L202:L204)</f>
        <v>1199.6666666666665</v>
      </c>
      <c r="M205" s="622">
        <f t="shared" si="105"/>
        <v>1199.6666666666665</v>
      </c>
      <c r="N205" s="622">
        <f t="shared" si="105"/>
        <v>1199.6666666666665</v>
      </c>
      <c r="O205" s="622">
        <f t="shared" si="105"/>
        <v>1199.6666666666665</v>
      </c>
      <c r="P205" s="622">
        <f t="shared" si="105"/>
        <v>1199.6666666666665</v>
      </c>
      <c r="Q205" s="622">
        <f t="shared" si="105"/>
        <v>1199.6666666666665</v>
      </c>
      <c r="R205" s="622">
        <f t="shared" si="105"/>
        <v>1199.6666666666665</v>
      </c>
      <c r="S205" s="622">
        <f t="shared" si="105"/>
        <v>1199.6666666666665</v>
      </c>
      <c r="T205" s="622">
        <f t="shared" si="105"/>
        <v>1199.6666666666665</v>
      </c>
      <c r="U205" s="622">
        <f t="shared" si="105"/>
        <v>1199.6666666666665</v>
      </c>
      <c r="V205" s="622">
        <f t="shared" si="105"/>
        <v>1199.6666666666665</v>
      </c>
      <c r="W205" s="557">
        <f>SUBTOTAL(9,W202:W204)</f>
        <v>14395.999999999998</v>
      </c>
      <c r="X205" s="63" t="str">
        <f>IF(H205=W205,"OK","Error")</f>
        <v>OK</v>
      </c>
      <c r="Y205" s="287">
        <v>0</v>
      </c>
      <c r="Z205" s="287">
        <f>H205-Y205</f>
        <v>14395.999999999998</v>
      </c>
    </row>
    <row r="206" spans="3:26" s="63" customFormat="1" ht="12" outlineLevel="1" x14ac:dyDescent="0.2">
      <c r="C206" s="671"/>
      <c r="D206" s="292"/>
      <c r="E206" s="298"/>
      <c r="F206" s="279"/>
      <c r="G206" s="561"/>
      <c r="H206" s="553"/>
      <c r="J206" s="613"/>
      <c r="K206" s="561"/>
      <c r="L206" s="561"/>
      <c r="M206" s="561"/>
      <c r="N206" s="561"/>
      <c r="O206" s="561"/>
      <c r="P206" s="561"/>
      <c r="Q206" s="561"/>
      <c r="R206" s="561"/>
      <c r="S206" s="561"/>
      <c r="T206" s="561"/>
      <c r="U206" s="561"/>
      <c r="V206" s="561"/>
      <c r="W206" s="553"/>
      <c r="Y206" s="287"/>
      <c r="Z206" s="287"/>
    </row>
    <row r="207" spans="3:26" s="63" customFormat="1" ht="12" outlineLevel="1" x14ac:dyDescent="0.2">
      <c r="C207" s="670">
        <v>6531</v>
      </c>
      <c r="D207" s="292"/>
      <c r="E207" s="298" t="s">
        <v>327</v>
      </c>
      <c r="F207" s="279"/>
      <c r="G207" s="561"/>
      <c r="H207" s="553"/>
      <c r="J207" s="613"/>
      <c r="K207" s="561"/>
      <c r="L207" s="561"/>
      <c r="M207" s="561"/>
      <c r="N207" s="561"/>
      <c r="O207" s="561"/>
      <c r="P207" s="561"/>
      <c r="Q207" s="561"/>
      <c r="R207" s="561"/>
      <c r="S207" s="561"/>
      <c r="T207" s="561"/>
      <c r="U207" s="561"/>
      <c r="V207" s="561"/>
      <c r="W207" s="553"/>
      <c r="Y207" s="287"/>
      <c r="Z207" s="287"/>
    </row>
    <row r="208" spans="3:26" s="63" customFormat="1" ht="12" outlineLevel="1" x14ac:dyDescent="0.2">
      <c r="C208" s="64"/>
      <c r="D208" s="566" t="s">
        <v>268</v>
      </c>
      <c r="E208" s="567" t="s">
        <v>706</v>
      </c>
      <c r="F208" s="568">
        <v>12</v>
      </c>
      <c r="G208" s="674">
        <v>17</v>
      </c>
      <c r="H208" s="616">
        <f>IF(J208="NO", F208*G208,SUM(J208:V208))</f>
        <v>204</v>
      </c>
      <c r="J208" s="617" t="s">
        <v>569</v>
      </c>
      <c r="K208" s="618">
        <f>$F208*$G208/12</f>
        <v>17</v>
      </c>
      <c r="L208" s="618">
        <f t="shared" ref="L208:V209" si="106">$F208*$G208/12</f>
        <v>17</v>
      </c>
      <c r="M208" s="618">
        <f t="shared" si="106"/>
        <v>17</v>
      </c>
      <c r="N208" s="618">
        <f t="shared" si="106"/>
        <v>17</v>
      </c>
      <c r="O208" s="618">
        <f t="shared" si="106"/>
        <v>17</v>
      </c>
      <c r="P208" s="618">
        <f t="shared" si="106"/>
        <v>17</v>
      </c>
      <c r="Q208" s="618">
        <f t="shared" si="106"/>
        <v>17</v>
      </c>
      <c r="R208" s="618">
        <f t="shared" si="106"/>
        <v>17</v>
      </c>
      <c r="S208" s="618">
        <f t="shared" si="106"/>
        <v>17</v>
      </c>
      <c r="T208" s="618">
        <f t="shared" si="106"/>
        <v>17</v>
      </c>
      <c r="U208" s="618">
        <f t="shared" si="106"/>
        <v>17</v>
      </c>
      <c r="V208" s="618">
        <f t="shared" si="106"/>
        <v>17</v>
      </c>
      <c r="W208" s="616">
        <f t="shared" ref="W208:W211" si="107">SUM(K208:V208)</f>
        <v>204</v>
      </c>
      <c r="Y208" s="287"/>
      <c r="Z208" s="287"/>
    </row>
    <row r="209" spans="3:26" s="63" customFormat="1" ht="12" outlineLevel="1" x14ac:dyDescent="0.2">
      <c r="C209" s="64"/>
      <c r="D209" s="566" t="s">
        <v>268</v>
      </c>
      <c r="E209" s="567" t="s">
        <v>708</v>
      </c>
      <c r="F209" s="568">
        <v>12</v>
      </c>
      <c r="G209" s="618">
        <v>120</v>
      </c>
      <c r="H209" s="616">
        <f>IF(J209="NO", F209*G209,SUM(J209:V209))</f>
        <v>1440</v>
      </c>
      <c r="J209" s="617" t="s">
        <v>569</v>
      </c>
      <c r="K209" s="618">
        <f>$F209*$G209/12</f>
        <v>120</v>
      </c>
      <c r="L209" s="618">
        <f t="shared" si="106"/>
        <v>120</v>
      </c>
      <c r="M209" s="618">
        <f t="shared" si="106"/>
        <v>120</v>
      </c>
      <c r="N209" s="618">
        <f t="shared" si="106"/>
        <v>120</v>
      </c>
      <c r="O209" s="618">
        <f t="shared" si="106"/>
        <v>120</v>
      </c>
      <c r="P209" s="618">
        <f t="shared" si="106"/>
        <v>120</v>
      </c>
      <c r="Q209" s="618">
        <f t="shared" si="106"/>
        <v>120</v>
      </c>
      <c r="R209" s="618">
        <f t="shared" si="106"/>
        <v>120</v>
      </c>
      <c r="S209" s="618">
        <f t="shared" si="106"/>
        <v>120</v>
      </c>
      <c r="T209" s="618">
        <f t="shared" si="106"/>
        <v>120</v>
      </c>
      <c r="U209" s="618">
        <f t="shared" si="106"/>
        <v>120</v>
      </c>
      <c r="V209" s="618">
        <f t="shared" si="106"/>
        <v>120</v>
      </c>
      <c r="W209" s="616">
        <f t="shared" si="107"/>
        <v>1440</v>
      </c>
      <c r="Y209" s="287"/>
      <c r="Z209" s="287"/>
    </row>
    <row r="210" spans="3:26" s="63" customFormat="1" ht="12" outlineLevel="1" x14ac:dyDescent="0.2">
      <c r="C210" s="64"/>
      <c r="D210" s="566" t="s">
        <v>268</v>
      </c>
      <c r="E210" s="567" t="s">
        <v>707</v>
      </c>
      <c r="F210" s="568">
        <v>1</v>
      </c>
      <c r="G210" s="618">
        <v>3880</v>
      </c>
      <c r="H210" s="616">
        <f t="shared" ref="H210" si="108">IF(J210="NO", F210*G210,SUM(J210:V210))</f>
        <v>3880</v>
      </c>
      <c r="J210" s="617" t="s">
        <v>569</v>
      </c>
      <c r="K210" s="618">
        <v>0</v>
      </c>
      <c r="L210" s="618">
        <v>0</v>
      </c>
      <c r="M210" s="618">
        <v>0</v>
      </c>
      <c r="N210" s="618">
        <v>0</v>
      </c>
      <c r="O210" s="618">
        <v>0</v>
      </c>
      <c r="P210" s="618">
        <v>0</v>
      </c>
      <c r="Q210" s="618">
        <v>0</v>
      </c>
      <c r="R210" s="618">
        <v>0</v>
      </c>
      <c r="S210" s="618">
        <v>0</v>
      </c>
      <c r="T210" s="618">
        <v>0</v>
      </c>
      <c r="U210" s="618">
        <v>0</v>
      </c>
      <c r="V210" s="618">
        <v>3880</v>
      </c>
      <c r="W210" s="616">
        <f t="shared" ref="W210" si="109">SUM(K210:V210)</f>
        <v>3880</v>
      </c>
      <c r="Y210" s="287"/>
      <c r="Z210" s="287"/>
    </row>
    <row r="211" spans="3:26" s="63" customFormat="1" ht="12" outlineLevel="1" x14ac:dyDescent="0.2">
      <c r="C211" s="64"/>
      <c r="D211" s="566" t="s">
        <v>258</v>
      </c>
      <c r="E211" s="567" t="s">
        <v>516</v>
      </c>
      <c r="F211" s="568">
        <v>0</v>
      </c>
      <c r="G211" s="618">
        <v>0</v>
      </c>
      <c r="H211" s="616">
        <f t="shared" ref="H211" si="110">IF(J211="NO", F211*G211,SUM(J211:V211))</f>
        <v>0</v>
      </c>
      <c r="J211" s="617" t="s">
        <v>569</v>
      </c>
      <c r="K211" s="618">
        <v>0</v>
      </c>
      <c r="L211" s="618">
        <v>0</v>
      </c>
      <c r="M211" s="618">
        <v>0</v>
      </c>
      <c r="N211" s="618">
        <v>0</v>
      </c>
      <c r="O211" s="618">
        <v>0</v>
      </c>
      <c r="P211" s="618">
        <v>0</v>
      </c>
      <c r="Q211" s="618">
        <v>0</v>
      </c>
      <c r="R211" s="618">
        <v>0</v>
      </c>
      <c r="S211" s="618">
        <v>0</v>
      </c>
      <c r="T211" s="618">
        <v>0</v>
      </c>
      <c r="U211" s="618">
        <v>0</v>
      </c>
      <c r="V211" s="618">
        <v>0</v>
      </c>
      <c r="W211" s="616">
        <f t="shared" si="107"/>
        <v>0</v>
      </c>
      <c r="Y211" s="287"/>
      <c r="Z211" s="287"/>
    </row>
    <row r="212" spans="3:26" s="63" customFormat="1" ht="3.6" customHeight="1" outlineLevel="1" thickBot="1" x14ac:dyDescent="0.25">
      <c r="C212" s="64"/>
      <c r="D212" s="294"/>
      <c r="E212" s="299"/>
      <c r="F212" s="281"/>
      <c r="G212" s="563"/>
      <c r="H212" s="556"/>
      <c r="J212" s="619"/>
      <c r="K212" s="563"/>
      <c r="L212" s="563"/>
      <c r="M212" s="563"/>
      <c r="N212" s="563"/>
      <c r="O212" s="563"/>
      <c r="P212" s="563"/>
      <c r="Q212" s="563"/>
      <c r="R212" s="563"/>
      <c r="S212" s="563"/>
      <c r="T212" s="563"/>
      <c r="U212" s="563"/>
      <c r="V212" s="563"/>
      <c r="W212" s="556"/>
      <c r="Y212" s="287"/>
      <c r="Z212" s="287"/>
    </row>
    <row r="213" spans="3:26" s="63" customFormat="1" ht="12.75" thickBot="1" x14ac:dyDescent="0.25">
      <c r="C213" s="64"/>
      <c r="D213" s="292"/>
      <c r="E213" s="298"/>
      <c r="F213" s="282" t="str">
        <f>E207</f>
        <v>Postage and Stamps</v>
      </c>
      <c r="G213" s="564">
        <f>C207</f>
        <v>6531</v>
      </c>
      <c r="H213" s="557">
        <f>SUBTOTAL(9,H208:H212)</f>
        <v>5524</v>
      </c>
      <c r="J213" s="624"/>
      <c r="K213" s="622">
        <f>SUBTOTAL(9,K208:K212)</f>
        <v>137</v>
      </c>
      <c r="L213" s="622">
        <f t="shared" ref="L213:V213" si="111">SUBTOTAL(9,L208:L212)</f>
        <v>137</v>
      </c>
      <c r="M213" s="622">
        <f t="shared" si="111"/>
        <v>137</v>
      </c>
      <c r="N213" s="622">
        <f t="shared" si="111"/>
        <v>137</v>
      </c>
      <c r="O213" s="622">
        <f t="shared" si="111"/>
        <v>137</v>
      </c>
      <c r="P213" s="622">
        <f t="shared" si="111"/>
        <v>137</v>
      </c>
      <c r="Q213" s="622">
        <f t="shared" si="111"/>
        <v>137</v>
      </c>
      <c r="R213" s="622">
        <f t="shared" si="111"/>
        <v>137</v>
      </c>
      <c r="S213" s="622">
        <f t="shared" si="111"/>
        <v>137</v>
      </c>
      <c r="T213" s="622">
        <f t="shared" si="111"/>
        <v>137</v>
      </c>
      <c r="U213" s="622">
        <f t="shared" si="111"/>
        <v>137</v>
      </c>
      <c r="V213" s="622">
        <f t="shared" si="111"/>
        <v>4017</v>
      </c>
      <c r="W213" s="557">
        <f>SUBTOTAL(9,W208:W212)</f>
        <v>5524</v>
      </c>
      <c r="X213" s="63" t="str">
        <f>IF(H213=W213,"OK","Error")</f>
        <v>OK</v>
      </c>
      <c r="Y213" s="287">
        <v>0</v>
      </c>
      <c r="Z213" s="287">
        <f>H213-Y213</f>
        <v>5524</v>
      </c>
    </row>
    <row r="214" spans="3:26" s="63" customFormat="1" ht="12" outlineLevel="1" x14ac:dyDescent="0.2">
      <c r="C214" s="64"/>
      <c r="D214" s="292"/>
      <c r="E214" s="298"/>
      <c r="F214" s="279"/>
      <c r="G214" s="561"/>
      <c r="H214" s="553"/>
      <c r="J214" s="613"/>
      <c r="K214" s="561"/>
      <c r="L214" s="561"/>
      <c r="M214" s="561"/>
      <c r="N214" s="561"/>
      <c r="O214" s="561"/>
      <c r="P214" s="561"/>
      <c r="Q214" s="561"/>
      <c r="R214" s="561"/>
      <c r="S214" s="561"/>
      <c r="T214" s="561"/>
      <c r="U214" s="561"/>
      <c r="V214" s="561"/>
      <c r="W214" s="553"/>
      <c r="Y214" s="287"/>
      <c r="Z214" s="287"/>
    </row>
    <row r="215" spans="3:26" s="63" customFormat="1" ht="12" outlineLevel="1" x14ac:dyDescent="0.2">
      <c r="C215" s="670">
        <v>6534</v>
      </c>
      <c r="D215" s="292"/>
      <c r="E215" s="298" t="s">
        <v>28</v>
      </c>
      <c r="F215" s="279"/>
      <c r="G215" s="561"/>
      <c r="H215" s="553"/>
      <c r="J215" s="613"/>
      <c r="K215" s="561"/>
      <c r="L215" s="561"/>
      <c r="M215" s="561"/>
      <c r="N215" s="561"/>
      <c r="O215" s="561"/>
      <c r="P215" s="561"/>
      <c r="Q215" s="561"/>
      <c r="R215" s="561"/>
      <c r="S215" s="561"/>
      <c r="T215" s="561"/>
      <c r="U215" s="561"/>
      <c r="V215" s="561"/>
      <c r="W215" s="553"/>
      <c r="Y215" s="287"/>
      <c r="Z215" s="287"/>
    </row>
    <row r="216" spans="3:26" s="63" customFormat="1" ht="12" outlineLevel="1" x14ac:dyDescent="0.2">
      <c r="C216" s="64"/>
      <c r="D216" s="566" t="s">
        <v>266</v>
      </c>
      <c r="E216" s="567" t="s">
        <v>710</v>
      </c>
      <c r="F216" s="568">
        <v>12</v>
      </c>
      <c r="G216" s="618">
        <v>270</v>
      </c>
      <c r="H216" s="616">
        <f>IF(J216="NO", F216*G216,SUM(J216:V216))</f>
        <v>3240</v>
      </c>
      <c r="J216" s="617" t="s">
        <v>569</v>
      </c>
      <c r="K216" s="618">
        <f>$F216*$G216/12</f>
        <v>270</v>
      </c>
      <c r="L216" s="618">
        <f t="shared" ref="L216:V216" si="112">$F216*$G216/12</f>
        <v>270</v>
      </c>
      <c r="M216" s="618">
        <f t="shared" si="112"/>
        <v>270</v>
      </c>
      <c r="N216" s="618">
        <f t="shared" si="112"/>
        <v>270</v>
      </c>
      <c r="O216" s="618">
        <f t="shared" si="112"/>
        <v>270</v>
      </c>
      <c r="P216" s="618">
        <f t="shared" si="112"/>
        <v>270</v>
      </c>
      <c r="Q216" s="618">
        <f t="shared" si="112"/>
        <v>270</v>
      </c>
      <c r="R216" s="618">
        <f t="shared" si="112"/>
        <v>270</v>
      </c>
      <c r="S216" s="618">
        <f t="shared" si="112"/>
        <v>270</v>
      </c>
      <c r="T216" s="618">
        <f t="shared" si="112"/>
        <v>270</v>
      </c>
      <c r="U216" s="618">
        <f t="shared" si="112"/>
        <v>270</v>
      </c>
      <c r="V216" s="618">
        <f t="shared" si="112"/>
        <v>270</v>
      </c>
      <c r="W216" s="616">
        <f t="shared" ref="W216:W217" si="113">SUM(K216:V216)</f>
        <v>3240</v>
      </c>
      <c r="Y216" s="287"/>
      <c r="Z216" s="287"/>
    </row>
    <row r="217" spans="3:26" s="63" customFormat="1" ht="12" outlineLevel="1" x14ac:dyDescent="0.2">
      <c r="C217" s="64"/>
      <c r="D217" s="566" t="s">
        <v>258</v>
      </c>
      <c r="E217" s="567"/>
      <c r="F217" s="568">
        <v>0</v>
      </c>
      <c r="G217" s="618">
        <v>0</v>
      </c>
      <c r="H217" s="616">
        <f t="shared" ref="H217" si="114">IF(J217="NO", F217*G217,SUM(J217:V217))</f>
        <v>0</v>
      </c>
      <c r="J217" s="617" t="s">
        <v>569</v>
      </c>
      <c r="K217" s="618">
        <v>0</v>
      </c>
      <c r="L217" s="618">
        <v>0</v>
      </c>
      <c r="M217" s="618">
        <v>0</v>
      </c>
      <c r="N217" s="618">
        <v>0</v>
      </c>
      <c r="O217" s="618">
        <v>0</v>
      </c>
      <c r="P217" s="618">
        <v>0</v>
      </c>
      <c r="Q217" s="618">
        <v>0</v>
      </c>
      <c r="R217" s="618">
        <v>0</v>
      </c>
      <c r="S217" s="618">
        <v>0</v>
      </c>
      <c r="T217" s="618">
        <v>0</v>
      </c>
      <c r="U217" s="618">
        <v>0</v>
      </c>
      <c r="V217" s="618">
        <v>0</v>
      </c>
      <c r="W217" s="616">
        <f t="shared" si="113"/>
        <v>0</v>
      </c>
      <c r="Y217" s="287"/>
      <c r="Z217" s="287"/>
    </row>
    <row r="218" spans="3:26" s="63" customFormat="1" ht="3.6" customHeight="1" outlineLevel="1" thickBot="1" x14ac:dyDescent="0.25">
      <c r="C218" s="64"/>
      <c r="D218" s="294"/>
      <c r="E218" s="299"/>
      <c r="F218" s="281"/>
      <c r="G218" s="563"/>
      <c r="H218" s="556"/>
      <c r="J218" s="619"/>
      <c r="K218" s="563"/>
      <c r="L218" s="563"/>
      <c r="M218" s="563"/>
      <c r="N218" s="563"/>
      <c r="O218" s="563"/>
      <c r="P218" s="563"/>
      <c r="Q218" s="563"/>
      <c r="R218" s="563"/>
      <c r="S218" s="563"/>
      <c r="T218" s="563"/>
      <c r="U218" s="563"/>
      <c r="V218" s="563"/>
      <c r="W218" s="556"/>
      <c r="Y218" s="287"/>
      <c r="Z218" s="287"/>
    </row>
    <row r="219" spans="3:26" s="63" customFormat="1" ht="12.75" thickBot="1" x14ac:dyDescent="0.25">
      <c r="C219" s="64"/>
      <c r="D219" s="292"/>
      <c r="E219" s="298"/>
      <c r="F219" s="282" t="str">
        <f>E215</f>
        <v>Telephone - Cell phone services</v>
      </c>
      <c r="G219" s="564">
        <f>C215</f>
        <v>6534</v>
      </c>
      <c r="H219" s="557">
        <f>SUBTOTAL(9,H216:H218)</f>
        <v>3240</v>
      </c>
      <c r="J219" s="624"/>
      <c r="K219" s="622">
        <f t="shared" ref="K219:W219" si="115">SUBTOTAL(9,K216:K218)</f>
        <v>270</v>
      </c>
      <c r="L219" s="622">
        <f t="shared" si="115"/>
        <v>270</v>
      </c>
      <c r="M219" s="622">
        <f t="shared" si="115"/>
        <v>270</v>
      </c>
      <c r="N219" s="622">
        <f t="shared" si="115"/>
        <v>270</v>
      </c>
      <c r="O219" s="622">
        <f t="shared" si="115"/>
        <v>270</v>
      </c>
      <c r="P219" s="622">
        <f t="shared" si="115"/>
        <v>270</v>
      </c>
      <c r="Q219" s="622">
        <f t="shared" si="115"/>
        <v>270</v>
      </c>
      <c r="R219" s="622">
        <f t="shared" si="115"/>
        <v>270</v>
      </c>
      <c r="S219" s="622">
        <f t="shared" si="115"/>
        <v>270</v>
      </c>
      <c r="T219" s="622">
        <f t="shared" si="115"/>
        <v>270</v>
      </c>
      <c r="U219" s="622">
        <f t="shared" si="115"/>
        <v>270</v>
      </c>
      <c r="V219" s="622">
        <f t="shared" si="115"/>
        <v>270</v>
      </c>
      <c r="W219" s="557">
        <f t="shared" si="115"/>
        <v>3240</v>
      </c>
      <c r="X219" s="63" t="str">
        <f>IF(H219=W219,"OK","Error")</f>
        <v>OK</v>
      </c>
      <c r="Y219" s="287">
        <v>0</v>
      </c>
      <c r="Z219" s="287">
        <f>H219-Y219</f>
        <v>3240</v>
      </c>
    </row>
    <row r="220" spans="3:26" s="63" customFormat="1" ht="12" outlineLevel="1" x14ac:dyDescent="0.2">
      <c r="C220" s="64"/>
      <c r="D220" s="292"/>
      <c r="E220" s="298"/>
      <c r="F220" s="279"/>
      <c r="G220" s="561"/>
      <c r="H220" s="553"/>
      <c r="J220" s="613"/>
      <c r="K220" s="561"/>
      <c r="L220" s="561"/>
      <c r="M220" s="561"/>
      <c r="N220" s="561"/>
      <c r="O220" s="561"/>
      <c r="P220" s="561"/>
      <c r="Q220" s="561"/>
      <c r="R220" s="561"/>
      <c r="S220" s="561"/>
      <c r="T220" s="561"/>
      <c r="U220" s="561"/>
      <c r="V220" s="561"/>
      <c r="W220" s="553"/>
      <c r="Y220" s="287"/>
      <c r="Z220" s="287"/>
    </row>
    <row r="221" spans="3:26" s="63" customFormat="1" ht="12" outlineLevel="1" x14ac:dyDescent="0.2">
      <c r="C221" s="670">
        <v>6535</v>
      </c>
      <c r="D221" s="292"/>
      <c r="E221" s="298" t="s">
        <v>29</v>
      </c>
      <c r="F221" s="279"/>
      <c r="G221" s="561"/>
      <c r="H221" s="553"/>
      <c r="J221" s="613"/>
      <c r="K221" s="561"/>
      <c r="L221" s="561"/>
      <c r="M221" s="561"/>
      <c r="N221" s="561"/>
      <c r="O221" s="561"/>
      <c r="P221" s="561"/>
      <c r="Q221" s="561"/>
      <c r="R221" s="561"/>
      <c r="S221" s="561"/>
      <c r="T221" s="561"/>
      <c r="U221" s="561"/>
      <c r="V221" s="561"/>
      <c r="W221" s="553"/>
      <c r="Y221" s="287"/>
      <c r="Z221" s="287"/>
    </row>
    <row r="222" spans="3:26" s="63" customFormat="1" ht="12" outlineLevel="1" x14ac:dyDescent="0.2">
      <c r="C222" s="64"/>
      <c r="D222" s="566" t="s">
        <v>268</v>
      </c>
      <c r="E222" s="567" t="s">
        <v>711</v>
      </c>
      <c r="F222" s="568">
        <v>12</v>
      </c>
      <c r="G222" s="674">
        <v>310</v>
      </c>
      <c r="H222" s="616">
        <f t="shared" ref="H222:H229" si="116">IF(J222="NO", F222*G222,SUM(J222:V222))</f>
        <v>3720</v>
      </c>
      <c r="J222" s="617" t="s">
        <v>569</v>
      </c>
      <c r="K222" s="618">
        <f t="shared" ref="K222:V238" si="117">$F222*$G222/12</f>
        <v>310</v>
      </c>
      <c r="L222" s="618">
        <f t="shared" si="117"/>
        <v>310</v>
      </c>
      <c r="M222" s="618">
        <f t="shared" si="117"/>
        <v>310</v>
      </c>
      <c r="N222" s="618">
        <f t="shared" si="117"/>
        <v>310</v>
      </c>
      <c r="O222" s="618">
        <f t="shared" si="117"/>
        <v>310</v>
      </c>
      <c r="P222" s="618">
        <f t="shared" si="117"/>
        <v>310</v>
      </c>
      <c r="Q222" s="618">
        <f t="shared" si="117"/>
        <v>310</v>
      </c>
      <c r="R222" s="618">
        <f t="shared" si="117"/>
        <v>310</v>
      </c>
      <c r="S222" s="618">
        <f t="shared" si="117"/>
        <v>310</v>
      </c>
      <c r="T222" s="618">
        <f t="shared" si="117"/>
        <v>310</v>
      </c>
      <c r="U222" s="618">
        <f t="shared" si="117"/>
        <v>310</v>
      </c>
      <c r="V222" s="618">
        <f t="shared" si="117"/>
        <v>310</v>
      </c>
      <c r="W222" s="616">
        <f t="shared" ref="W222:W239" si="118">SUM(K222:V222)</f>
        <v>3720</v>
      </c>
      <c r="Y222" s="287"/>
      <c r="Z222" s="287"/>
    </row>
    <row r="223" spans="3:26" s="63" customFormat="1" ht="12" outlineLevel="1" x14ac:dyDescent="0.2">
      <c r="C223" s="64"/>
      <c r="D223" s="566" t="s">
        <v>268</v>
      </c>
      <c r="E223" s="567" t="s">
        <v>718</v>
      </c>
      <c r="F223" s="568">
        <v>12</v>
      </c>
      <c r="G223" s="674">
        <v>334.95</v>
      </c>
      <c r="H223" s="616">
        <f t="shared" si="116"/>
        <v>4019.3999999999992</v>
      </c>
      <c r="J223" s="617" t="s">
        <v>569</v>
      </c>
      <c r="K223" s="618">
        <f t="shared" si="117"/>
        <v>334.95</v>
      </c>
      <c r="L223" s="618">
        <f t="shared" si="117"/>
        <v>334.95</v>
      </c>
      <c r="M223" s="618">
        <f t="shared" si="117"/>
        <v>334.95</v>
      </c>
      <c r="N223" s="618">
        <f t="shared" si="117"/>
        <v>334.95</v>
      </c>
      <c r="O223" s="618">
        <f t="shared" si="117"/>
        <v>334.95</v>
      </c>
      <c r="P223" s="618">
        <f t="shared" si="117"/>
        <v>334.95</v>
      </c>
      <c r="Q223" s="618">
        <f t="shared" si="117"/>
        <v>334.95</v>
      </c>
      <c r="R223" s="618">
        <f t="shared" si="117"/>
        <v>334.95</v>
      </c>
      <c r="S223" s="618">
        <f t="shared" si="117"/>
        <v>334.95</v>
      </c>
      <c r="T223" s="618">
        <f t="shared" si="117"/>
        <v>334.95</v>
      </c>
      <c r="U223" s="618">
        <f t="shared" si="117"/>
        <v>334.95</v>
      </c>
      <c r="V223" s="618">
        <f t="shared" si="117"/>
        <v>334.95</v>
      </c>
      <c r="W223" s="616">
        <f t="shared" si="118"/>
        <v>4019.3999999999992</v>
      </c>
      <c r="Y223" s="287"/>
      <c r="Z223" s="287"/>
    </row>
    <row r="224" spans="3:26" s="63" customFormat="1" ht="12" outlineLevel="1" x14ac:dyDescent="0.2">
      <c r="C224" s="64"/>
      <c r="D224" s="566" t="s">
        <v>268</v>
      </c>
      <c r="E224" s="567" t="s">
        <v>719</v>
      </c>
      <c r="F224" s="568">
        <v>12</v>
      </c>
      <c r="G224" s="674">
        <v>313.95</v>
      </c>
      <c r="H224" s="616">
        <f t="shared" si="116"/>
        <v>3767.3999999999992</v>
      </c>
      <c r="J224" s="617" t="s">
        <v>569</v>
      </c>
      <c r="K224" s="618">
        <f t="shared" si="117"/>
        <v>313.95</v>
      </c>
      <c r="L224" s="618">
        <f t="shared" si="117"/>
        <v>313.95</v>
      </c>
      <c r="M224" s="618">
        <f t="shared" si="117"/>
        <v>313.95</v>
      </c>
      <c r="N224" s="618">
        <f t="shared" si="117"/>
        <v>313.95</v>
      </c>
      <c r="O224" s="618">
        <f t="shared" si="117"/>
        <v>313.95</v>
      </c>
      <c r="P224" s="618">
        <f t="shared" si="117"/>
        <v>313.95</v>
      </c>
      <c r="Q224" s="618">
        <f t="shared" si="117"/>
        <v>313.95</v>
      </c>
      <c r="R224" s="618">
        <f t="shared" si="117"/>
        <v>313.95</v>
      </c>
      <c r="S224" s="618">
        <f t="shared" si="117"/>
        <v>313.95</v>
      </c>
      <c r="T224" s="618">
        <f t="shared" si="117"/>
        <v>313.95</v>
      </c>
      <c r="U224" s="618">
        <f t="shared" si="117"/>
        <v>313.95</v>
      </c>
      <c r="V224" s="618">
        <f t="shared" si="117"/>
        <v>313.95</v>
      </c>
      <c r="W224" s="616">
        <f t="shared" si="118"/>
        <v>3767.3999999999992</v>
      </c>
      <c r="Y224" s="287"/>
      <c r="Z224" s="287"/>
    </row>
    <row r="225" spans="3:26" s="63" customFormat="1" ht="12" outlineLevel="1" x14ac:dyDescent="0.2">
      <c r="C225" s="64"/>
      <c r="D225" s="566" t="s">
        <v>268</v>
      </c>
      <c r="E225" s="567" t="s">
        <v>720</v>
      </c>
      <c r="F225" s="568">
        <v>12</v>
      </c>
      <c r="G225" s="674">
        <v>313.95</v>
      </c>
      <c r="H225" s="616">
        <f t="shared" si="116"/>
        <v>3767.3999999999992</v>
      </c>
      <c r="J225" s="617" t="s">
        <v>569</v>
      </c>
      <c r="K225" s="618">
        <f t="shared" si="117"/>
        <v>313.95</v>
      </c>
      <c r="L225" s="618">
        <f t="shared" si="117"/>
        <v>313.95</v>
      </c>
      <c r="M225" s="618">
        <f t="shared" si="117"/>
        <v>313.95</v>
      </c>
      <c r="N225" s="618">
        <f t="shared" si="117"/>
        <v>313.95</v>
      </c>
      <c r="O225" s="618">
        <f t="shared" si="117"/>
        <v>313.95</v>
      </c>
      <c r="P225" s="618">
        <f t="shared" si="117"/>
        <v>313.95</v>
      </c>
      <c r="Q225" s="618">
        <f t="shared" si="117"/>
        <v>313.95</v>
      </c>
      <c r="R225" s="618">
        <f t="shared" si="117"/>
        <v>313.95</v>
      </c>
      <c r="S225" s="618">
        <f t="shared" si="117"/>
        <v>313.95</v>
      </c>
      <c r="T225" s="618">
        <f t="shared" si="117"/>
        <v>313.95</v>
      </c>
      <c r="U225" s="618">
        <f t="shared" si="117"/>
        <v>313.95</v>
      </c>
      <c r="V225" s="618">
        <f t="shared" si="117"/>
        <v>313.95</v>
      </c>
      <c r="W225" s="616">
        <f t="shared" si="118"/>
        <v>3767.3999999999992</v>
      </c>
      <c r="Y225" s="287"/>
      <c r="Z225" s="287"/>
    </row>
    <row r="226" spans="3:26" s="63" customFormat="1" ht="12" outlineLevel="1" x14ac:dyDescent="0.2">
      <c r="C226" s="64"/>
      <c r="D226" s="566" t="s">
        <v>268</v>
      </c>
      <c r="E226" s="567" t="s">
        <v>721</v>
      </c>
      <c r="F226" s="568">
        <v>12</v>
      </c>
      <c r="G226" s="674">
        <v>313.95</v>
      </c>
      <c r="H226" s="616">
        <f t="shared" si="116"/>
        <v>3767.3999999999992</v>
      </c>
      <c r="J226" s="617" t="s">
        <v>569</v>
      </c>
      <c r="K226" s="618">
        <f t="shared" si="117"/>
        <v>313.95</v>
      </c>
      <c r="L226" s="618">
        <f t="shared" si="117"/>
        <v>313.95</v>
      </c>
      <c r="M226" s="618">
        <f t="shared" si="117"/>
        <v>313.95</v>
      </c>
      <c r="N226" s="618">
        <f t="shared" si="117"/>
        <v>313.95</v>
      </c>
      <c r="O226" s="618">
        <f t="shared" si="117"/>
        <v>313.95</v>
      </c>
      <c r="P226" s="618">
        <f t="shared" si="117"/>
        <v>313.95</v>
      </c>
      <c r="Q226" s="618">
        <f t="shared" si="117"/>
        <v>313.95</v>
      </c>
      <c r="R226" s="618">
        <f t="shared" si="117"/>
        <v>313.95</v>
      </c>
      <c r="S226" s="618">
        <f t="shared" si="117"/>
        <v>313.95</v>
      </c>
      <c r="T226" s="618">
        <f t="shared" si="117"/>
        <v>313.95</v>
      </c>
      <c r="U226" s="618">
        <f t="shared" si="117"/>
        <v>313.95</v>
      </c>
      <c r="V226" s="618">
        <f t="shared" si="117"/>
        <v>313.95</v>
      </c>
      <c r="W226" s="616">
        <f t="shared" si="118"/>
        <v>3767.3999999999992</v>
      </c>
      <c r="Y226" s="287"/>
      <c r="Z226" s="287"/>
    </row>
    <row r="227" spans="3:26" s="63" customFormat="1" ht="12" outlineLevel="1" x14ac:dyDescent="0.2">
      <c r="C227" s="64"/>
      <c r="D227" s="566" t="s">
        <v>268</v>
      </c>
      <c r="E227" s="567" t="s">
        <v>722</v>
      </c>
      <c r="F227" s="568">
        <v>12</v>
      </c>
      <c r="G227" s="674">
        <v>313.95</v>
      </c>
      <c r="H227" s="616">
        <f t="shared" si="116"/>
        <v>3767.3999999999992</v>
      </c>
      <c r="J227" s="617" t="s">
        <v>569</v>
      </c>
      <c r="K227" s="618">
        <f t="shared" si="117"/>
        <v>313.95</v>
      </c>
      <c r="L227" s="618">
        <f t="shared" si="117"/>
        <v>313.95</v>
      </c>
      <c r="M227" s="618">
        <f t="shared" si="117"/>
        <v>313.95</v>
      </c>
      <c r="N227" s="618">
        <f t="shared" si="117"/>
        <v>313.95</v>
      </c>
      <c r="O227" s="618">
        <f t="shared" si="117"/>
        <v>313.95</v>
      </c>
      <c r="P227" s="618">
        <f t="shared" si="117"/>
        <v>313.95</v>
      </c>
      <c r="Q227" s="618">
        <f t="shared" si="117"/>
        <v>313.95</v>
      </c>
      <c r="R227" s="618">
        <f t="shared" si="117"/>
        <v>313.95</v>
      </c>
      <c r="S227" s="618">
        <f t="shared" si="117"/>
        <v>313.95</v>
      </c>
      <c r="T227" s="618">
        <f t="shared" si="117"/>
        <v>313.95</v>
      </c>
      <c r="U227" s="618">
        <f t="shared" si="117"/>
        <v>313.95</v>
      </c>
      <c r="V227" s="618">
        <f t="shared" si="117"/>
        <v>313.95</v>
      </c>
      <c r="W227" s="616">
        <f t="shared" si="118"/>
        <v>3767.3999999999992</v>
      </c>
      <c r="Y227" s="287"/>
      <c r="Z227" s="287"/>
    </row>
    <row r="228" spans="3:26" s="63" customFormat="1" ht="12" outlineLevel="1" x14ac:dyDescent="0.2">
      <c r="C228" s="64"/>
      <c r="D228" s="566" t="s">
        <v>268</v>
      </c>
      <c r="E228" s="567" t="s">
        <v>723</v>
      </c>
      <c r="F228" s="568">
        <v>12</v>
      </c>
      <c r="G228" s="674">
        <v>890</v>
      </c>
      <c r="H228" s="616">
        <f t="shared" si="116"/>
        <v>10680</v>
      </c>
      <c r="J228" s="617" t="s">
        <v>569</v>
      </c>
      <c r="K228" s="618">
        <f t="shared" si="117"/>
        <v>890</v>
      </c>
      <c r="L228" s="618">
        <f t="shared" si="117"/>
        <v>890</v>
      </c>
      <c r="M228" s="618">
        <f t="shared" si="117"/>
        <v>890</v>
      </c>
      <c r="N228" s="618">
        <f t="shared" si="117"/>
        <v>890</v>
      </c>
      <c r="O228" s="618">
        <f t="shared" si="117"/>
        <v>890</v>
      </c>
      <c r="P228" s="618">
        <f t="shared" si="117"/>
        <v>890</v>
      </c>
      <c r="Q228" s="618">
        <f t="shared" si="117"/>
        <v>890</v>
      </c>
      <c r="R228" s="618">
        <f t="shared" si="117"/>
        <v>890</v>
      </c>
      <c r="S228" s="618">
        <f t="shared" si="117"/>
        <v>890</v>
      </c>
      <c r="T228" s="618">
        <f t="shared" si="117"/>
        <v>890</v>
      </c>
      <c r="U228" s="618">
        <f t="shared" si="117"/>
        <v>890</v>
      </c>
      <c r="V228" s="618">
        <f t="shared" si="117"/>
        <v>890</v>
      </c>
      <c r="W228" s="616">
        <f t="shared" si="118"/>
        <v>10680</v>
      </c>
      <c r="Y228" s="287"/>
      <c r="Z228" s="287"/>
    </row>
    <row r="229" spans="3:26" s="63" customFormat="1" ht="12" outlineLevel="1" x14ac:dyDescent="0.2">
      <c r="C229" s="64"/>
      <c r="D229" s="566" t="s">
        <v>268</v>
      </c>
      <c r="E229" s="567" t="s">
        <v>724</v>
      </c>
      <c r="F229" s="568">
        <v>12</v>
      </c>
      <c r="G229" s="674">
        <v>313.95</v>
      </c>
      <c r="H229" s="616">
        <f t="shared" si="116"/>
        <v>3767.3999999999992</v>
      </c>
      <c r="J229" s="617" t="s">
        <v>569</v>
      </c>
      <c r="K229" s="618">
        <f t="shared" si="117"/>
        <v>313.95</v>
      </c>
      <c r="L229" s="618">
        <f t="shared" si="117"/>
        <v>313.95</v>
      </c>
      <c r="M229" s="618">
        <f t="shared" si="117"/>
        <v>313.95</v>
      </c>
      <c r="N229" s="618">
        <f t="shared" si="117"/>
        <v>313.95</v>
      </c>
      <c r="O229" s="618">
        <f t="shared" si="117"/>
        <v>313.95</v>
      </c>
      <c r="P229" s="618">
        <f t="shared" si="117"/>
        <v>313.95</v>
      </c>
      <c r="Q229" s="618">
        <f t="shared" si="117"/>
        <v>313.95</v>
      </c>
      <c r="R229" s="618">
        <f t="shared" si="117"/>
        <v>313.95</v>
      </c>
      <c r="S229" s="618">
        <f t="shared" si="117"/>
        <v>313.95</v>
      </c>
      <c r="T229" s="618">
        <f t="shared" si="117"/>
        <v>313.95</v>
      </c>
      <c r="U229" s="618">
        <f t="shared" si="117"/>
        <v>313.95</v>
      </c>
      <c r="V229" s="618">
        <f t="shared" si="117"/>
        <v>313.95</v>
      </c>
      <c r="W229" s="616">
        <f t="shared" ref="W229:W236" si="119">SUM(K229:V229)</f>
        <v>3767.3999999999992</v>
      </c>
      <c r="Y229" s="287"/>
      <c r="Z229" s="287"/>
    </row>
    <row r="230" spans="3:26" s="63" customFormat="1" ht="12" outlineLevel="1" x14ac:dyDescent="0.2">
      <c r="C230" s="64"/>
      <c r="D230" s="566" t="s">
        <v>268</v>
      </c>
      <c r="E230" s="567" t="s">
        <v>725</v>
      </c>
      <c r="F230" s="568">
        <v>12</v>
      </c>
      <c r="G230" s="674">
        <v>386.25</v>
      </c>
      <c r="H230" s="616">
        <f>IF(J230="NO", F230*G230,SUM(J230:V230))</f>
        <v>4635</v>
      </c>
      <c r="J230" s="617" t="s">
        <v>569</v>
      </c>
      <c r="K230" s="618">
        <f t="shared" ref="K230:V230" si="120">$F230*$G230/12</f>
        <v>386.25</v>
      </c>
      <c r="L230" s="618">
        <f t="shared" si="120"/>
        <v>386.25</v>
      </c>
      <c r="M230" s="618">
        <f t="shared" si="120"/>
        <v>386.25</v>
      </c>
      <c r="N230" s="618">
        <f t="shared" si="120"/>
        <v>386.25</v>
      </c>
      <c r="O230" s="618">
        <f t="shared" si="120"/>
        <v>386.25</v>
      </c>
      <c r="P230" s="618">
        <f t="shared" si="120"/>
        <v>386.25</v>
      </c>
      <c r="Q230" s="618">
        <f t="shared" si="120"/>
        <v>386.25</v>
      </c>
      <c r="R230" s="618">
        <f t="shared" si="120"/>
        <v>386.25</v>
      </c>
      <c r="S230" s="618">
        <f t="shared" si="120"/>
        <v>386.25</v>
      </c>
      <c r="T230" s="618">
        <f t="shared" si="120"/>
        <v>386.25</v>
      </c>
      <c r="U230" s="618">
        <f t="shared" si="120"/>
        <v>386.25</v>
      </c>
      <c r="V230" s="618">
        <f t="shared" si="120"/>
        <v>386.25</v>
      </c>
      <c r="W230" s="616">
        <f>SUM(K230:V230)</f>
        <v>4635</v>
      </c>
      <c r="Y230" s="287"/>
      <c r="Z230" s="287"/>
    </row>
    <row r="231" spans="3:26" s="63" customFormat="1" ht="12" outlineLevel="1" x14ac:dyDescent="0.2">
      <c r="C231" s="64"/>
      <c r="D231" s="566" t="s">
        <v>268</v>
      </c>
      <c r="E231" s="567" t="s">
        <v>726</v>
      </c>
      <c r="F231" s="568">
        <v>12</v>
      </c>
      <c r="G231" s="674">
        <v>218</v>
      </c>
      <c r="H231" s="616">
        <f t="shared" ref="H231:H237" si="121">IF(J231="NO", F231*G231,SUM(J231:V231))</f>
        <v>2616</v>
      </c>
      <c r="J231" s="617" t="s">
        <v>569</v>
      </c>
      <c r="K231" s="618">
        <f t="shared" si="117"/>
        <v>218</v>
      </c>
      <c r="L231" s="618">
        <f t="shared" si="117"/>
        <v>218</v>
      </c>
      <c r="M231" s="618">
        <f t="shared" si="117"/>
        <v>218</v>
      </c>
      <c r="N231" s="618">
        <f t="shared" si="117"/>
        <v>218</v>
      </c>
      <c r="O231" s="618">
        <f t="shared" si="117"/>
        <v>218</v>
      </c>
      <c r="P231" s="618">
        <f t="shared" si="117"/>
        <v>218</v>
      </c>
      <c r="Q231" s="618">
        <f t="shared" si="117"/>
        <v>218</v>
      </c>
      <c r="R231" s="618">
        <f t="shared" si="117"/>
        <v>218</v>
      </c>
      <c r="S231" s="618">
        <f t="shared" si="117"/>
        <v>218</v>
      </c>
      <c r="T231" s="618">
        <f t="shared" si="117"/>
        <v>218</v>
      </c>
      <c r="U231" s="618">
        <f t="shared" si="117"/>
        <v>218</v>
      </c>
      <c r="V231" s="618">
        <f t="shared" si="117"/>
        <v>218</v>
      </c>
      <c r="W231" s="616">
        <f t="shared" si="119"/>
        <v>2616</v>
      </c>
      <c r="Y231" s="287"/>
      <c r="Z231" s="287"/>
    </row>
    <row r="232" spans="3:26" s="63" customFormat="1" ht="12" outlineLevel="1" x14ac:dyDescent="0.2">
      <c r="C232" s="64"/>
      <c r="D232" s="566" t="s">
        <v>268</v>
      </c>
      <c r="E232" s="567" t="s">
        <v>727</v>
      </c>
      <c r="F232" s="568">
        <v>12</v>
      </c>
      <c r="G232" s="674">
        <v>203.3</v>
      </c>
      <c r="H232" s="616">
        <f t="shared" si="121"/>
        <v>2439.6000000000004</v>
      </c>
      <c r="J232" s="617" t="s">
        <v>569</v>
      </c>
      <c r="K232" s="618">
        <f t="shared" si="117"/>
        <v>203.30000000000004</v>
      </c>
      <c r="L232" s="618">
        <f t="shared" si="117"/>
        <v>203.30000000000004</v>
      </c>
      <c r="M232" s="618">
        <f t="shared" si="117"/>
        <v>203.30000000000004</v>
      </c>
      <c r="N232" s="618">
        <f t="shared" si="117"/>
        <v>203.30000000000004</v>
      </c>
      <c r="O232" s="618">
        <f t="shared" si="117"/>
        <v>203.30000000000004</v>
      </c>
      <c r="P232" s="618">
        <f t="shared" si="117"/>
        <v>203.30000000000004</v>
      </c>
      <c r="Q232" s="618">
        <f t="shared" si="117"/>
        <v>203.30000000000004</v>
      </c>
      <c r="R232" s="618">
        <f t="shared" si="117"/>
        <v>203.30000000000004</v>
      </c>
      <c r="S232" s="618">
        <f t="shared" si="117"/>
        <v>203.30000000000004</v>
      </c>
      <c r="T232" s="618">
        <f t="shared" si="117"/>
        <v>203.30000000000004</v>
      </c>
      <c r="U232" s="618">
        <f t="shared" si="117"/>
        <v>203.30000000000004</v>
      </c>
      <c r="V232" s="618">
        <f t="shared" si="117"/>
        <v>203.30000000000004</v>
      </c>
      <c r="W232" s="616">
        <f t="shared" si="119"/>
        <v>2439.6000000000004</v>
      </c>
      <c r="Y232" s="287"/>
      <c r="Z232" s="287"/>
    </row>
    <row r="233" spans="3:26" s="63" customFormat="1" ht="12" outlineLevel="1" x14ac:dyDescent="0.2">
      <c r="C233" s="64"/>
      <c r="D233" s="566" t="s">
        <v>268</v>
      </c>
      <c r="E233" s="567" t="s">
        <v>712</v>
      </c>
      <c r="F233" s="568">
        <v>12</v>
      </c>
      <c r="G233" s="674">
        <v>77.25</v>
      </c>
      <c r="H233" s="616">
        <f t="shared" si="121"/>
        <v>927</v>
      </c>
      <c r="J233" s="617" t="s">
        <v>569</v>
      </c>
      <c r="K233" s="618">
        <f t="shared" si="117"/>
        <v>77.25</v>
      </c>
      <c r="L233" s="618">
        <f t="shared" si="117"/>
        <v>77.25</v>
      </c>
      <c r="M233" s="618">
        <f t="shared" si="117"/>
        <v>77.25</v>
      </c>
      <c r="N233" s="618">
        <f t="shared" si="117"/>
        <v>77.25</v>
      </c>
      <c r="O233" s="618">
        <f t="shared" si="117"/>
        <v>77.25</v>
      </c>
      <c r="P233" s="618">
        <f t="shared" si="117"/>
        <v>77.25</v>
      </c>
      <c r="Q233" s="618">
        <f t="shared" si="117"/>
        <v>77.25</v>
      </c>
      <c r="R233" s="618">
        <f t="shared" si="117"/>
        <v>77.25</v>
      </c>
      <c r="S233" s="618">
        <f t="shared" si="117"/>
        <v>77.25</v>
      </c>
      <c r="T233" s="618">
        <f t="shared" si="117"/>
        <v>77.25</v>
      </c>
      <c r="U233" s="618">
        <f t="shared" si="117"/>
        <v>77.25</v>
      </c>
      <c r="V233" s="618">
        <f t="shared" si="117"/>
        <v>77.25</v>
      </c>
      <c r="W233" s="616">
        <f t="shared" si="119"/>
        <v>927</v>
      </c>
      <c r="Y233" s="287"/>
      <c r="Z233" s="287"/>
    </row>
    <row r="234" spans="3:26" s="63" customFormat="1" ht="12" outlineLevel="1" x14ac:dyDescent="0.2">
      <c r="C234" s="64"/>
      <c r="D234" s="566" t="s">
        <v>268</v>
      </c>
      <c r="E234" s="567" t="s">
        <v>713</v>
      </c>
      <c r="F234" s="568">
        <v>12</v>
      </c>
      <c r="G234" s="674">
        <v>115.88</v>
      </c>
      <c r="H234" s="616">
        <f t="shared" si="121"/>
        <v>1390.5600000000004</v>
      </c>
      <c r="J234" s="617" t="s">
        <v>569</v>
      </c>
      <c r="K234" s="618">
        <f t="shared" si="117"/>
        <v>115.88</v>
      </c>
      <c r="L234" s="618">
        <f t="shared" si="117"/>
        <v>115.88</v>
      </c>
      <c r="M234" s="618">
        <f t="shared" si="117"/>
        <v>115.88</v>
      </c>
      <c r="N234" s="618">
        <f t="shared" si="117"/>
        <v>115.88</v>
      </c>
      <c r="O234" s="618">
        <f t="shared" si="117"/>
        <v>115.88</v>
      </c>
      <c r="P234" s="618">
        <f t="shared" si="117"/>
        <v>115.88</v>
      </c>
      <c r="Q234" s="618">
        <f t="shared" si="117"/>
        <v>115.88</v>
      </c>
      <c r="R234" s="618">
        <f t="shared" si="117"/>
        <v>115.88</v>
      </c>
      <c r="S234" s="618">
        <f t="shared" si="117"/>
        <v>115.88</v>
      </c>
      <c r="T234" s="618">
        <f t="shared" si="117"/>
        <v>115.88</v>
      </c>
      <c r="U234" s="618">
        <f t="shared" si="117"/>
        <v>115.88</v>
      </c>
      <c r="V234" s="618">
        <f t="shared" si="117"/>
        <v>115.88</v>
      </c>
      <c r="W234" s="616">
        <f t="shared" si="119"/>
        <v>1390.5600000000004</v>
      </c>
      <c r="Y234" s="287"/>
      <c r="Z234" s="287"/>
    </row>
    <row r="235" spans="3:26" s="63" customFormat="1" ht="12" outlineLevel="1" x14ac:dyDescent="0.2">
      <c r="C235" s="64"/>
      <c r="D235" s="566" t="s">
        <v>268</v>
      </c>
      <c r="E235" s="567" t="s">
        <v>714</v>
      </c>
      <c r="F235" s="568">
        <v>12</v>
      </c>
      <c r="G235" s="674">
        <v>77.25</v>
      </c>
      <c r="H235" s="616">
        <f t="shared" si="121"/>
        <v>927</v>
      </c>
      <c r="J235" s="617" t="s">
        <v>569</v>
      </c>
      <c r="K235" s="618">
        <f t="shared" si="117"/>
        <v>77.25</v>
      </c>
      <c r="L235" s="618">
        <f t="shared" si="117"/>
        <v>77.25</v>
      </c>
      <c r="M235" s="618">
        <f t="shared" si="117"/>
        <v>77.25</v>
      </c>
      <c r="N235" s="618">
        <f t="shared" si="117"/>
        <v>77.25</v>
      </c>
      <c r="O235" s="618">
        <f t="shared" si="117"/>
        <v>77.25</v>
      </c>
      <c r="P235" s="618">
        <f t="shared" si="117"/>
        <v>77.25</v>
      </c>
      <c r="Q235" s="618">
        <f t="shared" si="117"/>
        <v>77.25</v>
      </c>
      <c r="R235" s="618">
        <f t="shared" si="117"/>
        <v>77.25</v>
      </c>
      <c r="S235" s="618">
        <f t="shared" si="117"/>
        <v>77.25</v>
      </c>
      <c r="T235" s="618">
        <f t="shared" si="117"/>
        <v>77.25</v>
      </c>
      <c r="U235" s="618">
        <f t="shared" si="117"/>
        <v>77.25</v>
      </c>
      <c r="V235" s="618">
        <f t="shared" si="117"/>
        <v>77.25</v>
      </c>
      <c r="W235" s="616">
        <f t="shared" si="119"/>
        <v>927</v>
      </c>
      <c r="Y235" s="287"/>
      <c r="Z235" s="287"/>
    </row>
    <row r="236" spans="3:26" s="63" customFormat="1" ht="12" outlineLevel="1" x14ac:dyDescent="0.2">
      <c r="C236" s="64"/>
      <c r="D236" s="566" t="s">
        <v>268</v>
      </c>
      <c r="E236" s="567" t="s">
        <v>715</v>
      </c>
      <c r="F236" s="568">
        <v>12</v>
      </c>
      <c r="G236" s="674">
        <v>77.25</v>
      </c>
      <c r="H236" s="616">
        <f t="shared" si="121"/>
        <v>927</v>
      </c>
      <c r="J236" s="617" t="s">
        <v>569</v>
      </c>
      <c r="K236" s="618">
        <f t="shared" si="117"/>
        <v>77.25</v>
      </c>
      <c r="L236" s="618">
        <f t="shared" si="117"/>
        <v>77.25</v>
      </c>
      <c r="M236" s="618">
        <f t="shared" si="117"/>
        <v>77.25</v>
      </c>
      <c r="N236" s="618">
        <f t="shared" si="117"/>
        <v>77.25</v>
      </c>
      <c r="O236" s="618">
        <f t="shared" si="117"/>
        <v>77.25</v>
      </c>
      <c r="P236" s="618">
        <f t="shared" si="117"/>
        <v>77.25</v>
      </c>
      <c r="Q236" s="618">
        <f t="shared" si="117"/>
        <v>77.25</v>
      </c>
      <c r="R236" s="618">
        <f t="shared" si="117"/>
        <v>77.25</v>
      </c>
      <c r="S236" s="618">
        <f t="shared" si="117"/>
        <v>77.25</v>
      </c>
      <c r="T236" s="618">
        <f t="shared" si="117"/>
        <v>77.25</v>
      </c>
      <c r="U236" s="618">
        <f t="shared" si="117"/>
        <v>77.25</v>
      </c>
      <c r="V236" s="618">
        <f t="shared" si="117"/>
        <v>77.25</v>
      </c>
      <c r="W236" s="616">
        <f t="shared" si="119"/>
        <v>927</v>
      </c>
      <c r="Y236" s="287"/>
      <c r="Z236" s="287"/>
    </row>
    <row r="237" spans="3:26" s="63" customFormat="1" ht="12" outlineLevel="1" x14ac:dyDescent="0.2">
      <c r="C237" s="64"/>
      <c r="D237" s="566" t="s">
        <v>268</v>
      </c>
      <c r="E237" s="567" t="s">
        <v>716</v>
      </c>
      <c r="F237" s="568">
        <v>12</v>
      </c>
      <c r="G237" s="674">
        <v>77.25</v>
      </c>
      <c r="H237" s="616">
        <f t="shared" si="121"/>
        <v>927</v>
      </c>
      <c r="J237" s="617" t="s">
        <v>569</v>
      </c>
      <c r="K237" s="618">
        <f t="shared" si="117"/>
        <v>77.25</v>
      </c>
      <c r="L237" s="618">
        <f t="shared" si="117"/>
        <v>77.25</v>
      </c>
      <c r="M237" s="618">
        <f t="shared" si="117"/>
        <v>77.25</v>
      </c>
      <c r="N237" s="618">
        <f t="shared" si="117"/>
        <v>77.25</v>
      </c>
      <c r="O237" s="618">
        <f t="shared" si="117"/>
        <v>77.25</v>
      </c>
      <c r="P237" s="618">
        <f t="shared" si="117"/>
        <v>77.25</v>
      </c>
      <c r="Q237" s="618">
        <f t="shared" si="117"/>
        <v>77.25</v>
      </c>
      <c r="R237" s="618">
        <f t="shared" si="117"/>
        <v>77.25</v>
      </c>
      <c r="S237" s="618">
        <f t="shared" si="117"/>
        <v>77.25</v>
      </c>
      <c r="T237" s="618">
        <f t="shared" si="117"/>
        <v>77.25</v>
      </c>
      <c r="U237" s="618">
        <f t="shared" si="117"/>
        <v>77.25</v>
      </c>
      <c r="V237" s="618">
        <f t="shared" si="117"/>
        <v>77.25</v>
      </c>
      <c r="W237" s="616">
        <f t="shared" ref="W237" si="122">SUM(K237:V237)</f>
        <v>927</v>
      </c>
      <c r="Y237" s="287"/>
      <c r="Z237" s="287"/>
    </row>
    <row r="238" spans="3:26" s="63" customFormat="1" ht="12" outlineLevel="1" x14ac:dyDescent="0.2">
      <c r="C238" s="64"/>
      <c r="D238" s="566" t="s">
        <v>268</v>
      </c>
      <c r="E238" s="567" t="s">
        <v>717</v>
      </c>
      <c r="F238" s="568">
        <v>12</v>
      </c>
      <c r="G238" s="674">
        <v>77.25</v>
      </c>
      <c r="H238" s="616">
        <f t="shared" ref="H238" si="123">IF(J238="NO", F238*G238,SUM(J238:V238))</f>
        <v>927</v>
      </c>
      <c r="J238" s="617" t="s">
        <v>569</v>
      </c>
      <c r="K238" s="618">
        <f t="shared" si="117"/>
        <v>77.25</v>
      </c>
      <c r="L238" s="618">
        <f t="shared" si="117"/>
        <v>77.25</v>
      </c>
      <c r="M238" s="618">
        <f t="shared" si="117"/>
        <v>77.25</v>
      </c>
      <c r="N238" s="618">
        <f t="shared" si="117"/>
        <v>77.25</v>
      </c>
      <c r="O238" s="618">
        <f t="shared" si="117"/>
        <v>77.25</v>
      </c>
      <c r="P238" s="618">
        <f t="shared" si="117"/>
        <v>77.25</v>
      </c>
      <c r="Q238" s="618">
        <f t="shared" si="117"/>
        <v>77.25</v>
      </c>
      <c r="R238" s="618">
        <f t="shared" si="117"/>
        <v>77.25</v>
      </c>
      <c r="S238" s="618">
        <f t="shared" si="117"/>
        <v>77.25</v>
      </c>
      <c r="T238" s="618">
        <f t="shared" si="117"/>
        <v>77.25</v>
      </c>
      <c r="U238" s="618">
        <f t="shared" si="117"/>
        <v>77.25</v>
      </c>
      <c r="V238" s="618">
        <f t="shared" si="117"/>
        <v>77.25</v>
      </c>
      <c r="W238" s="616">
        <f t="shared" ref="W238" si="124">SUM(K238:V238)</f>
        <v>927</v>
      </c>
      <c r="Y238" s="287"/>
      <c r="Z238" s="287"/>
    </row>
    <row r="239" spans="3:26" s="63" customFormat="1" ht="12" outlineLevel="1" x14ac:dyDescent="0.2">
      <c r="C239" s="64"/>
      <c r="D239" s="566" t="s">
        <v>258</v>
      </c>
      <c r="E239" s="567" t="s">
        <v>709</v>
      </c>
      <c r="F239" s="568">
        <v>0</v>
      </c>
      <c r="G239" s="618">
        <v>0</v>
      </c>
      <c r="H239" s="616">
        <f t="shared" ref="H239" si="125">IF(J239="NO", F239*G239,SUM(J239:V239))</f>
        <v>0</v>
      </c>
      <c r="J239" s="617" t="s">
        <v>569</v>
      </c>
      <c r="K239" s="618">
        <v>0</v>
      </c>
      <c r="L239" s="618">
        <v>0</v>
      </c>
      <c r="M239" s="618">
        <v>0</v>
      </c>
      <c r="N239" s="618">
        <v>0</v>
      </c>
      <c r="O239" s="618">
        <v>0</v>
      </c>
      <c r="P239" s="618">
        <v>0</v>
      </c>
      <c r="Q239" s="618">
        <v>0</v>
      </c>
      <c r="R239" s="618">
        <v>0</v>
      </c>
      <c r="S239" s="618">
        <v>0</v>
      </c>
      <c r="T239" s="618">
        <v>0</v>
      </c>
      <c r="U239" s="618">
        <v>0</v>
      </c>
      <c r="V239" s="618">
        <v>0</v>
      </c>
      <c r="W239" s="616">
        <f t="shared" si="118"/>
        <v>0</v>
      </c>
      <c r="Y239" s="287"/>
      <c r="Z239" s="287"/>
    </row>
    <row r="240" spans="3:26" s="63" customFormat="1" ht="3.6" customHeight="1" outlineLevel="1" thickBot="1" x14ac:dyDescent="0.25">
      <c r="C240" s="64"/>
      <c r="D240" s="294"/>
      <c r="E240" s="299"/>
      <c r="F240" s="281"/>
      <c r="G240" s="563"/>
      <c r="H240" s="556"/>
      <c r="J240" s="617" t="s">
        <v>569</v>
      </c>
      <c r="K240" s="563"/>
      <c r="L240" s="563"/>
      <c r="M240" s="563"/>
      <c r="N240" s="563"/>
      <c r="O240" s="563"/>
      <c r="P240" s="563"/>
      <c r="Q240" s="563"/>
      <c r="R240" s="563"/>
      <c r="S240" s="563"/>
      <c r="T240" s="563"/>
      <c r="U240" s="563"/>
      <c r="V240" s="563"/>
      <c r="W240" s="556"/>
      <c r="Y240" s="287"/>
      <c r="Z240" s="287"/>
    </row>
    <row r="241" spans="3:26" s="63" customFormat="1" ht="12.75" thickBot="1" x14ac:dyDescent="0.25">
      <c r="C241" s="64"/>
      <c r="D241" s="292"/>
      <c r="E241" s="298"/>
      <c r="F241" s="282" t="str">
        <f>E221</f>
        <v>Data Communications, Internet, Video, T-lines, etc</v>
      </c>
      <c r="G241" s="564">
        <f>C221</f>
        <v>6535</v>
      </c>
      <c r="H241" s="557">
        <f>SUBTOTAL(9,H222:H240)</f>
        <v>52972.56</v>
      </c>
      <c r="J241" s="624"/>
      <c r="K241" s="622">
        <f>SUBTOTAL(9,K222:K240)</f>
        <v>4414.38</v>
      </c>
      <c r="L241" s="622">
        <f t="shared" ref="L241:W241" si="126">SUBTOTAL(9,L222:L240)</f>
        <v>4414.38</v>
      </c>
      <c r="M241" s="622">
        <f t="shared" si="126"/>
        <v>4414.38</v>
      </c>
      <c r="N241" s="622">
        <f t="shared" si="126"/>
        <v>4414.38</v>
      </c>
      <c r="O241" s="622">
        <f t="shared" si="126"/>
        <v>4414.38</v>
      </c>
      <c r="P241" s="622">
        <f t="shared" si="126"/>
        <v>4414.38</v>
      </c>
      <c r="Q241" s="622">
        <f t="shared" si="126"/>
        <v>4414.38</v>
      </c>
      <c r="R241" s="622">
        <f t="shared" si="126"/>
        <v>4414.38</v>
      </c>
      <c r="S241" s="622">
        <f t="shared" si="126"/>
        <v>4414.38</v>
      </c>
      <c r="T241" s="622">
        <f t="shared" si="126"/>
        <v>4414.38</v>
      </c>
      <c r="U241" s="622">
        <f t="shared" si="126"/>
        <v>4414.38</v>
      </c>
      <c r="V241" s="622">
        <f t="shared" si="126"/>
        <v>4414.38</v>
      </c>
      <c r="W241" s="557">
        <f t="shared" si="126"/>
        <v>52972.56</v>
      </c>
      <c r="X241" s="63" t="str">
        <f>IF(H241=W241,"OK","Error")</f>
        <v>OK</v>
      </c>
      <c r="Y241" s="287">
        <v>0</v>
      </c>
      <c r="Z241" s="287">
        <f>H241-Y241</f>
        <v>52972.56</v>
      </c>
    </row>
    <row r="242" spans="3:26" s="63" customFormat="1" ht="12" outlineLevel="1" x14ac:dyDescent="0.2">
      <c r="C242" s="64"/>
      <c r="D242" s="292"/>
      <c r="E242" s="298"/>
      <c r="F242" s="279"/>
      <c r="G242" s="561"/>
      <c r="H242" s="553"/>
      <c r="J242" s="613"/>
      <c r="K242" s="561"/>
      <c r="L242" s="561"/>
      <c r="M242" s="561"/>
      <c r="N242" s="561"/>
      <c r="O242" s="561"/>
      <c r="P242" s="561"/>
      <c r="Q242" s="561"/>
      <c r="R242" s="561"/>
      <c r="S242" s="561"/>
      <c r="T242" s="561"/>
      <c r="U242" s="561"/>
      <c r="V242" s="561"/>
      <c r="W242" s="553"/>
      <c r="Y242" s="287"/>
      <c r="Z242" s="287"/>
    </row>
    <row r="243" spans="3:26" s="63" customFormat="1" ht="12" outlineLevel="1" x14ac:dyDescent="0.2">
      <c r="C243" s="670">
        <v>6540</v>
      </c>
      <c r="D243" s="292"/>
      <c r="E243" s="298" t="s">
        <v>30</v>
      </c>
      <c r="F243" s="279"/>
      <c r="G243" s="561"/>
      <c r="H243" s="553"/>
      <c r="J243" s="613"/>
      <c r="K243" s="613"/>
      <c r="L243" s="613"/>
      <c r="M243" s="613"/>
      <c r="N243" s="613"/>
      <c r="O243" s="613"/>
      <c r="P243" s="613"/>
      <c r="Q243" s="613"/>
      <c r="R243" s="613"/>
      <c r="S243" s="613"/>
      <c r="T243" s="613"/>
      <c r="U243" s="613"/>
      <c r="V243" s="561"/>
      <c r="W243" s="553"/>
      <c r="Y243" s="287"/>
      <c r="Z243" s="287"/>
    </row>
    <row r="244" spans="3:26" s="63" customFormat="1" ht="12" outlineLevel="1" x14ac:dyDescent="0.2">
      <c r="C244" s="64"/>
      <c r="D244" s="566" t="s">
        <v>269</v>
      </c>
      <c r="E244" s="567" t="s">
        <v>806</v>
      </c>
      <c r="F244" s="568">
        <v>0</v>
      </c>
      <c r="G244" s="618">
        <v>0</v>
      </c>
      <c r="H244" s="616">
        <f>IF(J244="NO", F244*G244,SUM(J244:V244))</f>
        <v>6000</v>
      </c>
      <c r="J244" s="617" t="s">
        <v>569</v>
      </c>
      <c r="K244" s="618">
        <v>500</v>
      </c>
      <c r="L244" s="618">
        <v>500</v>
      </c>
      <c r="M244" s="618">
        <v>500</v>
      </c>
      <c r="N244" s="618">
        <v>500</v>
      </c>
      <c r="O244" s="618">
        <v>500</v>
      </c>
      <c r="P244" s="618">
        <v>500</v>
      </c>
      <c r="Q244" s="618">
        <v>500</v>
      </c>
      <c r="R244" s="618">
        <v>500</v>
      </c>
      <c r="S244" s="618">
        <v>500</v>
      </c>
      <c r="T244" s="618">
        <v>500</v>
      </c>
      <c r="U244" s="618">
        <v>500</v>
      </c>
      <c r="V244" s="618">
        <v>500</v>
      </c>
      <c r="W244" s="616">
        <f t="shared" ref="W244:W259" si="127">SUM(K244:V244)</f>
        <v>6000</v>
      </c>
      <c r="Y244" s="287"/>
      <c r="Z244" s="287"/>
    </row>
    <row r="245" spans="3:26" s="63" customFormat="1" ht="12" outlineLevel="1" x14ac:dyDescent="0.2">
      <c r="C245" s="64"/>
      <c r="D245" s="680" t="s">
        <v>269</v>
      </c>
      <c r="E245" s="681" t="s">
        <v>733</v>
      </c>
      <c r="F245" s="682">
        <v>16</v>
      </c>
      <c r="G245" s="618">
        <v>500</v>
      </c>
      <c r="H245" s="616">
        <f t="shared" ref="H245:H246" si="128">IF(J245="NO", F245*G245,SUM(J245:V245))</f>
        <v>4000</v>
      </c>
      <c r="J245" s="617" t="s">
        <v>569</v>
      </c>
      <c r="K245" s="618">
        <v>0</v>
      </c>
      <c r="L245" s="618">
        <v>0</v>
      </c>
      <c r="M245" s="618">
        <v>0</v>
      </c>
      <c r="N245" s="618">
        <v>0</v>
      </c>
      <c r="O245" s="618">
        <v>1000</v>
      </c>
      <c r="P245" s="618">
        <v>500</v>
      </c>
      <c r="Q245" s="618">
        <v>0</v>
      </c>
      <c r="R245" s="618">
        <v>0</v>
      </c>
      <c r="S245" s="618">
        <v>1500</v>
      </c>
      <c r="T245" s="618">
        <v>1000</v>
      </c>
      <c r="U245" s="618">
        <v>0</v>
      </c>
      <c r="V245" s="618">
        <v>0</v>
      </c>
      <c r="W245" s="616">
        <f t="shared" ref="W245:W246" si="129">SUM(K245:V245)</f>
        <v>4000</v>
      </c>
      <c r="Y245" s="287"/>
      <c r="Z245" s="287"/>
    </row>
    <row r="246" spans="3:26" s="63" customFormat="1" ht="12" outlineLevel="1" x14ac:dyDescent="0.2">
      <c r="C246" s="64"/>
      <c r="D246" s="680" t="s">
        <v>269</v>
      </c>
      <c r="E246" s="681" t="s">
        <v>732</v>
      </c>
      <c r="F246" s="682">
        <v>10</v>
      </c>
      <c r="G246" s="618">
        <v>250</v>
      </c>
      <c r="H246" s="616">
        <f t="shared" si="128"/>
        <v>1500</v>
      </c>
      <c r="J246" s="617" t="s">
        <v>569</v>
      </c>
      <c r="K246" s="618">
        <v>0</v>
      </c>
      <c r="L246" s="618">
        <v>0</v>
      </c>
      <c r="M246" s="618">
        <v>0</v>
      </c>
      <c r="N246" s="618">
        <v>0</v>
      </c>
      <c r="O246" s="618">
        <v>500</v>
      </c>
      <c r="P246" s="618">
        <v>0</v>
      </c>
      <c r="Q246" s="618">
        <v>0</v>
      </c>
      <c r="R246" s="618">
        <v>0</v>
      </c>
      <c r="S246" s="618">
        <v>500</v>
      </c>
      <c r="T246" s="618">
        <v>500</v>
      </c>
      <c r="U246" s="618">
        <v>0</v>
      </c>
      <c r="V246" s="618">
        <v>0</v>
      </c>
      <c r="W246" s="616">
        <f t="shared" si="129"/>
        <v>1500</v>
      </c>
      <c r="Y246" s="287"/>
      <c r="Z246" s="287"/>
    </row>
    <row r="247" spans="3:26" s="63" customFormat="1" ht="12" outlineLevel="1" x14ac:dyDescent="0.2">
      <c r="C247" s="64"/>
      <c r="D247" s="680" t="s">
        <v>269</v>
      </c>
      <c r="E247" s="681" t="s">
        <v>805</v>
      </c>
      <c r="F247" s="682">
        <v>8</v>
      </c>
      <c r="G247" s="618">
        <v>300</v>
      </c>
      <c r="H247" s="616">
        <f t="shared" ref="H247:H259" si="130">IF(J247="NO", F247*G247,SUM(J247:V247))</f>
        <v>1500</v>
      </c>
      <c r="J247" s="617" t="s">
        <v>569</v>
      </c>
      <c r="K247" s="618">
        <v>300</v>
      </c>
      <c r="L247" s="618">
        <v>0</v>
      </c>
      <c r="M247" s="618">
        <v>0</v>
      </c>
      <c r="N247" s="618">
        <v>0</v>
      </c>
      <c r="O247" s="618">
        <v>300</v>
      </c>
      <c r="P247" s="618">
        <v>300</v>
      </c>
      <c r="Q247" s="618">
        <v>300</v>
      </c>
      <c r="R247" s="618">
        <v>300</v>
      </c>
      <c r="S247" s="618">
        <v>0</v>
      </c>
      <c r="T247" s="618">
        <v>0</v>
      </c>
      <c r="U247" s="618">
        <v>0</v>
      </c>
      <c r="V247" s="618">
        <v>0</v>
      </c>
      <c r="W247" s="616">
        <f t="shared" si="127"/>
        <v>1500</v>
      </c>
      <c r="Y247" s="287"/>
      <c r="Z247" s="287"/>
    </row>
    <row r="248" spans="3:26" s="63" customFormat="1" ht="12" outlineLevel="1" x14ac:dyDescent="0.2">
      <c r="C248" s="64"/>
      <c r="D248" s="680" t="s">
        <v>269</v>
      </c>
      <c r="E248" s="681" t="s">
        <v>808</v>
      </c>
      <c r="F248" s="682">
        <v>2</v>
      </c>
      <c r="G248" s="618">
        <v>600</v>
      </c>
      <c r="H248" s="616">
        <f t="shared" ref="H248" si="131">IF(J248="NO", F248*G248,SUM(J248:V248))</f>
        <v>0</v>
      </c>
      <c r="J248" s="617" t="s">
        <v>569</v>
      </c>
      <c r="K248" s="618">
        <v>0</v>
      </c>
      <c r="L248" s="618">
        <v>0</v>
      </c>
      <c r="M248" s="618">
        <v>0</v>
      </c>
      <c r="N248" s="618">
        <v>0</v>
      </c>
      <c r="O248" s="618">
        <v>0</v>
      </c>
      <c r="P248" s="618">
        <v>0</v>
      </c>
      <c r="Q248" s="618">
        <v>0</v>
      </c>
      <c r="R248" s="618">
        <v>0</v>
      </c>
      <c r="S248" s="618">
        <v>0</v>
      </c>
      <c r="T248" s="618">
        <v>0</v>
      </c>
      <c r="U248" s="618">
        <v>0</v>
      </c>
      <c r="V248" s="618">
        <v>0</v>
      </c>
      <c r="W248" s="616">
        <f t="shared" ref="W248" si="132">SUM(K248:V248)</f>
        <v>0</v>
      </c>
      <c r="Y248" s="287"/>
      <c r="Z248" s="287"/>
    </row>
    <row r="249" spans="3:26" s="63" customFormat="1" ht="12" outlineLevel="1" x14ac:dyDescent="0.2">
      <c r="C249" s="64"/>
      <c r="D249" s="566" t="s">
        <v>269</v>
      </c>
      <c r="E249" s="567" t="s">
        <v>731</v>
      </c>
      <c r="F249" s="568">
        <v>1</v>
      </c>
      <c r="G249" s="618">
        <v>1200</v>
      </c>
      <c r="H249" s="616">
        <f t="shared" si="130"/>
        <v>1158.71</v>
      </c>
      <c r="J249" s="617" t="s">
        <v>569</v>
      </c>
      <c r="K249" s="618">
        <v>0</v>
      </c>
      <c r="L249" s="618">
        <v>0</v>
      </c>
      <c r="M249" s="618">
        <v>1158.71</v>
      </c>
      <c r="N249" s="618">
        <v>0</v>
      </c>
      <c r="O249" s="618">
        <v>0</v>
      </c>
      <c r="P249" s="618">
        <v>0</v>
      </c>
      <c r="Q249" s="618">
        <v>0</v>
      </c>
      <c r="R249" s="618">
        <v>0</v>
      </c>
      <c r="S249" s="618">
        <v>0</v>
      </c>
      <c r="T249" s="618">
        <v>0</v>
      </c>
      <c r="U249" s="618">
        <v>0</v>
      </c>
      <c r="V249" s="618">
        <v>0</v>
      </c>
      <c r="W249" s="616">
        <f t="shared" si="127"/>
        <v>1158.71</v>
      </c>
      <c r="Y249" s="287"/>
      <c r="Z249" s="287"/>
    </row>
    <row r="250" spans="3:26" s="63" customFormat="1" ht="12" outlineLevel="1" x14ac:dyDescent="0.2">
      <c r="C250" s="64"/>
      <c r="D250" s="566" t="s">
        <v>269</v>
      </c>
      <c r="E250" s="567" t="s">
        <v>730</v>
      </c>
      <c r="F250" s="568">
        <v>3</v>
      </c>
      <c r="G250" s="618">
        <v>11100</v>
      </c>
      <c r="H250" s="616">
        <f t="shared" si="130"/>
        <v>33300</v>
      </c>
      <c r="J250" s="617" t="s">
        <v>569</v>
      </c>
      <c r="K250" s="618">
        <v>0</v>
      </c>
      <c r="L250" s="618">
        <v>0</v>
      </c>
      <c r="M250" s="618">
        <v>0</v>
      </c>
      <c r="N250" s="618">
        <v>0</v>
      </c>
      <c r="O250" s="618">
        <v>11100</v>
      </c>
      <c r="P250" s="618">
        <v>0</v>
      </c>
      <c r="Q250" s="618">
        <v>0</v>
      </c>
      <c r="R250" s="618">
        <v>11100</v>
      </c>
      <c r="S250" s="618">
        <v>0</v>
      </c>
      <c r="T250" s="618">
        <v>11100</v>
      </c>
      <c r="U250" s="618">
        <v>0</v>
      </c>
      <c r="V250" s="618">
        <v>0</v>
      </c>
      <c r="W250" s="616">
        <f t="shared" si="127"/>
        <v>33300</v>
      </c>
      <c r="Y250" s="287"/>
      <c r="Z250" s="287"/>
    </row>
    <row r="251" spans="3:26" s="63" customFormat="1" ht="12" outlineLevel="1" x14ac:dyDescent="0.2">
      <c r="C251" s="64"/>
      <c r="D251" s="566" t="s">
        <v>269</v>
      </c>
      <c r="E251" s="567" t="s">
        <v>729</v>
      </c>
      <c r="F251" s="568">
        <v>1</v>
      </c>
      <c r="G251" s="618">
        <v>500</v>
      </c>
      <c r="H251" s="616">
        <f t="shared" si="130"/>
        <v>500</v>
      </c>
      <c r="J251" s="617" t="s">
        <v>569</v>
      </c>
      <c r="K251" s="618">
        <v>0</v>
      </c>
      <c r="L251" s="618">
        <v>0</v>
      </c>
      <c r="M251" s="618">
        <v>500</v>
      </c>
      <c r="N251" s="618">
        <v>0</v>
      </c>
      <c r="O251" s="618">
        <v>0</v>
      </c>
      <c r="P251" s="618">
        <v>0</v>
      </c>
      <c r="Q251" s="618">
        <v>0</v>
      </c>
      <c r="R251" s="618">
        <v>0</v>
      </c>
      <c r="S251" s="618">
        <v>0</v>
      </c>
      <c r="T251" s="618">
        <v>0</v>
      </c>
      <c r="U251" s="618">
        <v>0</v>
      </c>
      <c r="V251" s="618">
        <v>0</v>
      </c>
      <c r="W251" s="616">
        <f t="shared" si="127"/>
        <v>500</v>
      </c>
      <c r="Y251" s="287"/>
      <c r="Z251" s="287"/>
    </row>
    <row r="252" spans="3:26" s="63" customFormat="1" ht="12" outlineLevel="1" x14ac:dyDescent="0.2">
      <c r="C252" s="64"/>
      <c r="D252" s="680" t="s">
        <v>269</v>
      </c>
      <c r="E252" s="681" t="s">
        <v>728</v>
      </c>
      <c r="F252" s="682">
        <v>2</v>
      </c>
      <c r="G252" s="618">
        <v>400</v>
      </c>
      <c r="H252" s="616">
        <f>IF(J252="NO", F252*G252,SUM(J252:V252))</f>
        <v>0</v>
      </c>
      <c r="J252" s="617" t="s">
        <v>569</v>
      </c>
      <c r="K252" s="618">
        <v>0</v>
      </c>
      <c r="L252" s="618">
        <v>0</v>
      </c>
      <c r="M252" s="618">
        <v>0</v>
      </c>
      <c r="N252" s="618">
        <v>0</v>
      </c>
      <c r="O252" s="618">
        <v>0</v>
      </c>
      <c r="P252" s="618">
        <v>0</v>
      </c>
      <c r="Q252" s="618">
        <v>0</v>
      </c>
      <c r="R252" s="618">
        <v>0</v>
      </c>
      <c r="S252" s="618">
        <v>0</v>
      </c>
      <c r="T252" s="618">
        <v>0</v>
      </c>
      <c r="U252" s="618">
        <v>0</v>
      </c>
      <c r="V252" s="618">
        <v>0</v>
      </c>
      <c r="W252" s="616">
        <f>SUM(K252:V252)</f>
        <v>0</v>
      </c>
      <c r="Y252" s="287"/>
      <c r="Z252" s="287"/>
    </row>
    <row r="253" spans="3:26" s="63" customFormat="1" ht="12" outlineLevel="1" x14ac:dyDescent="0.2">
      <c r="C253" s="64"/>
      <c r="D253" s="566" t="s">
        <v>270</v>
      </c>
      <c r="E253" s="567" t="s">
        <v>795</v>
      </c>
      <c r="F253" s="568">
        <v>1</v>
      </c>
      <c r="G253" s="618">
        <v>8000</v>
      </c>
      <c r="H253" s="616">
        <f t="shared" si="130"/>
        <v>8000</v>
      </c>
      <c r="J253" s="617" t="s">
        <v>569</v>
      </c>
      <c r="K253" s="618">
        <v>0</v>
      </c>
      <c r="L253" s="618">
        <v>0</v>
      </c>
      <c r="M253" s="618">
        <v>0</v>
      </c>
      <c r="N253" s="618">
        <v>0</v>
      </c>
      <c r="O253" s="618">
        <v>0</v>
      </c>
      <c r="P253" s="618">
        <v>8000</v>
      </c>
      <c r="Q253" s="618">
        <v>0</v>
      </c>
      <c r="R253" s="618">
        <v>0</v>
      </c>
      <c r="S253" s="618">
        <v>0</v>
      </c>
      <c r="T253" s="618">
        <v>0</v>
      </c>
      <c r="U253" s="618">
        <v>0</v>
      </c>
      <c r="V253" s="618">
        <v>0</v>
      </c>
      <c r="W253" s="616">
        <f t="shared" si="127"/>
        <v>8000</v>
      </c>
      <c r="Y253" s="287"/>
      <c r="Z253" s="287"/>
    </row>
    <row r="254" spans="3:26" s="63" customFormat="1" ht="12" outlineLevel="1" x14ac:dyDescent="0.2">
      <c r="C254" s="64"/>
      <c r="D254" s="566" t="s">
        <v>270</v>
      </c>
      <c r="E254" s="567" t="s">
        <v>734</v>
      </c>
      <c r="F254" s="568">
        <v>0</v>
      </c>
      <c r="G254" s="618">
        <v>200</v>
      </c>
      <c r="H254" s="616">
        <f t="shared" ref="H254:H255" si="133">IF(J254="NO", F254*G254,SUM(J254:V254))</f>
        <v>0</v>
      </c>
      <c r="J254" s="617" t="s">
        <v>569</v>
      </c>
      <c r="K254" s="618">
        <f>$F254*$G254/12</f>
        <v>0</v>
      </c>
      <c r="L254" s="618">
        <f t="shared" ref="L254:V255" si="134">$F254*$G254/12</f>
        <v>0</v>
      </c>
      <c r="M254" s="618">
        <f t="shared" si="134"/>
        <v>0</v>
      </c>
      <c r="N254" s="618">
        <f t="shared" si="134"/>
        <v>0</v>
      </c>
      <c r="O254" s="618">
        <f t="shared" si="134"/>
        <v>0</v>
      </c>
      <c r="P254" s="618">
        <f t="shared" si="134"/>
        <v>0</v>
      </c>
      <c r="Q254" s="618">
        <f t="shared" si="134"/>
        <v>0</v>
      </c>
      <c r="R254" s="618">
        <f t="shared" si="134"/>
        <v>0</v>
      </c>
      <c r="S254" s="618">
        <f t="shared" si="134"/>
        <v>0</v>
      </c>
      <c r="T254" s="618">
        <f t="shared" si="134"/>
        <v>0</v>
      </c>
      <c r="U254" s="618">
        <f t="shared" si="134"/>
        <v>0</v>
      </c>
      <c r="V254" s="618">
        <f t="shared" si="134"/>
        <v>0</v>
      </c>
      <c r="W254" s="616">
        <f>SUM(K254:V254)</f>
        <v>0</v>
      </c>
      <c r="Y254" s="287"/>
      <c r="Z254" s="287"/>
    </row>
    <row r="255" spans="3:26" s="63" customFormat="1" ht="12" outlineLevel="1" x14ac:dyDescent="0.2">
      <c r="C255" s="64"/>
      <c r="D255" s="566" t="s">
        <v>270</v>
      </c>
      <c r="E255" s="567" t="s">
        <v>735</v>
      </c>
      <c r="F255" s="568">
        <v>0</v>
      </c>
      <c r="G255" s="618">
        <v>299</v>
      </c>
      <c r="H255" s="616">
        <f t="shared" si="133"/>
        <v>0</v>
      </c>
      <c r="J255" s="617" t="s">
        <v>569</v>
      </c>
      <c r="K255" s="618">
        <f>$F255*$G255/12</f>
        <v>0</v>
      </c>
      <c r="L255" s="618">
        <f t="shared" si="134"/>
        <v>0</v>
      </c>
      <c r="M255" s="618">
        <f t="shared" si="134"/>
        <v>0</v>
      </c>
      <c r="N255" s="618">
        <f t="shared" si="134"/>
        <v>0</v>
      </c>
      <c r="O255" s="618">
        <f t="shared" si="134"/>
        <v>0</v>
      </c>
      <c r="P255" s="618">
        <f t="shared" si="134"/>
        <v>0</v>
      </c>
      <c r="Q255" s="618">
        <f t="shared" si="134"/>
        <v>0</v>
      </c>
      <c r="R255" s="618">
        <f t="shared" si="134"/>
        <v>0</v>
      </c>
      <c r="S255" s="618">
        <f t="shared" si="134"/>
        <v>0</v>
      </c>
      <c r="T255" s="618">
        <f t="shared" si="134"/>
        <v>0</v>
      </c>
      <c r="U255" s="618">
        <f t="shared" si="134"/>
        <v>0</v>
      </c>
      <c r="V255" s="618">
        <f t="shared" si="134"/>
        <v>0</v>
      </c>
      <c r="W255" s="616">
        <f>SUM(K255:V255)</f>
        <v>0</v>
      </c>
      <c r="Y255" s="287"/>
      <c r="Z255" s="287"/>
    </row>
    <row r="256" spans="3:26" s="63" customFormat="1" ht="12" outlineLevel="1" x14ac:dyDescent="0.2">
      <c r="C256" s="64"/>
      <c r="D256" s="566" t="s">
        <v>270</v>
      </c>
      <c r="E256" s="567" t="s">
        <v>736</v>
      </c>
      <c r="F256" s="568">
        <v>1</v>
      </c>
      <c r="G256" s="618">
        <v>900</v>
      </c>
      <c r="H256" s="616">
        <f t="shared" si="130"/>
        <v>900</v>
      </c>
      <c r="J256" s="617" t="s">
        <v>569</v>
      </c>
      <c r="K256" s="618">
        <v>0</v>
      </c>
      <c r="L256" s="618">
        <v>0</v>
      </c>
      <c r="M256" s="618">
        <v>0</v>
      </c>
      <c r="N256" s="618">
        <v>0</v>
      </c>
      <c r="O256" s="618">
        <v>0</v>
      </c>
      <c r="P256" s="618">
        <v>0</v>
      </c>
      <c r="Q256" s="618">
        <v>0</v>
      </c>
      <c r="R256" s="618">
        <v>0</v>
      </c>
      <c r="S256" s="618">
        <v>0</v>
      </c>
      <c r="T256" s="618">
        <v>0</v>
      </c>
      <c r="U256" s="618">
        <v>900</v>
      </c>
      <c r="V256" s="618">
        <v>0</v>
      </c>
      <c r="W256" s="616">
        <f>SUM(K256:V256)</f>
        <v>900</v>
      </c>
      <c r="Y256" s="287"/>
      <c r="Z256" s="287"/>
    </row>
    <row r="257" spans="3:26" s="63" customFormat="1" ht="12" outlineLevel="1" x14ac:dyDescent="0.2">
      <c r="C257" s="64"/>
      <c r="D257" s="566" t="s">
        <v>270</v>
      </c>
      <c r="E257" s="567" t="s">
        <v>739</v>
      </c>
      <c r="F257" s="568">
        <v>4</v>
      </c>
      <c r="G257" s="618">
        <v>750</v>
      </c>
      <c r="H257" s="616">
        <f>IF(J257="NO", F257*G257,SUM(J257:V257))</f>
        <v>3000</v>
      </c>
      <c r="J257" s="617" t="s">
        <v>569</v>
      </c>
      <c r="K257" s="618">
        <v>0</v>
      </c>
      <c r="L257" s="618">
        <v>0</v>
      </c>
      <c r="M257" s="618">
        <v>0</v>
      </c>
      <c r="N257" s="618">
        <v>750</v>
      </c>
      <c r="O257" s="618">
        <v>0</v>
      </c>
      <c r="P257" s="618">
        <v>750</v>
      </c>
      <c r="Q257" s="618">
        <v>0</v>
      </c>
      <c r="R257" s="618">
        <v>0</v>
      </c>
      <c r="S257" s="618">
        <v>0</v>
      </c>
      <c r="T257" s="618">
        <v>750</v>
      </c>
      <c r="U257" s="618"/>
      <c r="V257" s="618">
        <v>750</v>
      </c>
      <c r="W257" s="616">
        <f>SUM(K257:V257)</f>
        <v>3000</v>
      </c>
      <c r="Y257" s="287"/>
      <c r="Z257" s="287"/>
    </row>
    <row r="258" spans="3:26" s="63" customFormat="1" ht="12" outlineLevel="1" x14ac:dyDescent="0.2">
      <c r="C258" s="64"/>
      <c r="D258" s="566" t="s">
        <v>270</v>
      </c>
      <c r="E258" s="567" t="s">
        <v>737</v>
      </c>
      <c r="F258" s="568">
        <v>2</v>
      </c>
      <c r="G258" s="618">
        <v>300</v>
      </c>
      <c r="H258" s="616">
        <f t="shared" ref="H258" si="135">IF(J258="NO", F258*G258,SUM(J258:V258))</f>
        <v>600</v>
      </c>
      <c r="J258" s="617" t="s">
        <v>569</v>
      </c>
      <c r="K258" s="618">
        <v>0</v>
      </c>
      <c r="L258" s="618">
        <v>0</v>
      </c>
      <c r="M258" s="618">
        <v>0</v>
      </c>
      <c r="N258" s="618">
        <v>0</v>
      </c>
      <c r="O258" s="618">
        <v>0</v>
      </c>
      <c r="P258" s="618">
        <v>0</v>
      </c>
      <c r="Q258" s="618">
        <v>0</v>
      </c>
      <c r="R258" s="618">
        <v>300</v>
      </c>
      <c r="S258" s="618">
        <v>0</v>
      </c>
      <c r="T258" s="618">
        <v>300</v>
      </c>
      <c r="U258" s="618">
        <v>0</v>
      </c>
      <c r="V258" s="618">
        <v>0</v>
      </c>
      <c r="W258" s="616">
        <f>SUM(K258:V258)</f>
        <v>600</v>
      </c>
      <c r="Y258" s="287"/>
      <c r="Z258" s="287"/>
    </row>
    <row r="259" spans="3:26" s="63" customFormat="1" ht="12" outlineLevel="1" x14ac:dyDescent="0.2">
      <c r="C259" s="64"/>
      <c r="D259" s="566" t="s">
        <v>258</v>
      </c>
      <c r="E259" s="567" t="s">
        <v>738</v>
      </c>
      <c r="F259" s="568">
        <v>0</v>
      </c>
      <c r="G259" s="618">
        <v>0</v>
      </c>
      <c r="H259" s="616">
        <f t="shared" si="130"/>
        <v>0</v>
      </c>
      <c r="J259" s="617" t="s">
        <v>569</v>
      </c>
      <c r="K259" s="618">
        <v>0</v>
      </c>
      <c r="L259" s="618">
        <v>0</v>
      </c>
      <c r="M259" s="618">
        <v>0</v>
      </c>
      <c r="N259" s="618">
        <v>0</v>
      </c>
      <c r="O259" s="618">
        <v>0</v>
      </c>
      <c r="P259" s="618">
        <v>0</v>
      </c>
      <c r="Q259" s="618">
        <v>0</v>
      </c>
      <c r="R259" s="618">
        <v>0</v>
      </c>
      <c r="S259" s="618">
        <v>0</v>
      </c>
      <c r="T259" s="618">
        <v>0</v>
      </c>
      <c r="U259" s="618">
        <v>0</v>
      </c>
      <c r="V259" s="618">
        <v>0</v>
      </c>
      <c r="W259" s="616">
        <f t="shared" si="127"/>
        <v>0</v>
      </c>
      <c r="Y259" s="287"/>
      <c r="Z259" s="287"/>
    </row>
    <row r="260" spans="3:26" s="63" customFormat="1" ht="3.6" customHeight="1" outlineLevel="1" thickBot="1" x14ac:dyDescent="0.25">
      <c r="C260" s="64"/>
      <c r="D260" s="294"/>
      <c r="E260" s="299"/>
      <c r="F260" s="281"/>
      <c r="G260" s="563"/>
      <c r="H260" s="556"/>
      <c r="J260" s="619"/>
      <c r="K260" s="563"/>
      <c r="L260" s="563"/>
      <c r="M260" s="563"/>
      <c r="N260" s="563"/>
      <c r="O260" s="563"/>
      <c r="P260" s="563"/>
      <c r="Q260" s="563"/>
      <c r="R260" s="563"/>
      <c r="S260" s="563"/>
      <c r="T260" s="563"/>
      <c r="U260" s="563"/>
      <c r="V260" s="563"/>
      <c r="W260" s="556"/>
      <c r="Y260" s="287"/>
      <c r="Z260" s="287"/>
    </row>
    <row r="261" spans="3:26" s="63" customFormat="1" ht="12.75" thickBot="1" x14ac:dyDescent="0.25">
      <c r="C261" s="64"/>
      <c r="D261" s="292"/>
      <c r="E261" s="298"/>
      <c r="F261" s="282" t="str">
        <f>E243</f>
        <v>Advertising</v>
      </c>
      <c r="G261" s="564">
        <f>C243</f>
        <v>6540</v>
      </c>
      <c r="H261" s="557">
        <f>SUBTOTAL(9,H244:H260)</f>
        <v>60458.71</v>
      </c>
      <c r="J261" s="624"/>
      <c r="K261" s="622">
        <f>SUBTOTAL(9,K244:K260)</f>
        <v>800</v>
      </c>
      <c r="L261" s="622">
        <f t="shared" ref="L261:V261" si="136">SUBTOTAL(9,L244:L260)</f>
        <v>500</v>
      </c>
      <c r="M261" s="622">
        <f t="shared" si="136"/>
        <v>2158.71</v>
      </c>
      <c r="N261" s="622">
        <f t="shared" si="136"/>
        <v>1250</v>
      </c>
      <c r="O261" s="622">
        <f t="shared" si="136"/>
        <v>13400</v>
      </c>
      <c r="P261" s="622">
        <f t="shared" si="136"/>
        <v>10050</v>
      </c>
      <c r="Q261" s="622">
        <f t="shared" si="136"/>
        <v>800</v>
      </c>
      <c r="R261" s="622">
        <f t="shared" si="136"/>
        <v>12200</v>
      </c>
      <c r="S261" s="622">
        <f t="shared" si="136"/>
        <v>2500</v>
      </c>
      <c r="T261" s="622">
        <f t="shared" si="136"/>
        <v>14150</v>
      </c>
      <c r="U261" s="622">
        <f t="shared" si="136"/>
        <v>1400</v>
      </c>
      <c r="V261" s="622">
        <f t="shared" si="136"/>
        <v>1250</v>
      </c>
      <c r="W261" s="557">
        <f>SUBTOTAL(9,W244:W260)</f>
        <v>60458.71</v>
      </c>
      <c r="X261" s="63" t="str">
        <f>IF(H261=W261,"OK","Error")</f>
        <v>OK</v>
      </c>
      <c r="Y261" s="287">
        <v>0</v>
      </c>
      <c r="Z261" s="287">
        <f>H261-Y261</f>
        <v>60458.71</v>
      </c>
    </row>
    <row r="262" spans="3:26" s="63" customFormat="1" ht="12" outlineLevel="1" x14ac:dyDescent="0.2">
      <c r="C262" s="64"/>
      <c r="D262" s="292"/>
      <c r="E262" s="298"/>
      <c r="F262" s="279"/>
      <c r="G262" s="561"/>
      <c r="H262" s="553"/>
      <c r="J262" s="613"/>
      <c r="K262" s="561"/>
      <c r="L262" s="561"/>
      <c r="M262" s="561"/>
      <c r="N262" s="561"/>
      <c r="O262" s="561"/>
      <c r="P262" s="561"/>
      <c r="Q262" s="561"/>
      <c r="R262" s="561"/>
      <c r="S262" s="561"/>
      <c r="T262" s="561"/>
      <c r="U262" s="561"/>
      <c r="V262" s="561"/>
      <c r="W262" s="553"/>
      <c r="Y262" s="287"/>
      <c r="Z262" s="287"/>
    </row>
    <row r="263" spans="3:26" s="63" customFormat="1" ht="12" outlineLevel="1" x14ac:dyDescent="0.2">
      <c r="C263" s="670">
        <v>6550</v>
      </c>
      <c r="D263" s="292"/>
      <c r="E263" s="298" t="s">
        <v>31</v>
      </c>
      <c r="F263" s="279"/>
      <c r="G263" s="561"/>
      <c r="H263" s="553"/>
      <c r="J263" s="613"/>
      <c r="K263" s="561"/>
      <c r="L263" s="561"/>
      <c r="M263" s="561"/>
      <c r="N263" s="561"/>
      <c r="O263" s="561"/>
      <c r="P263" s="561"/>
      <c r="Q263" s="561"/>
      <c r="R263" s="561"/>
      <c r="S263" s="561"/>
      <c r="T263" s="561"/>
      <c r="U263" s="561"/>
      <c r="V263" s="561"/>
      <c r="W263" s="553"/>
      <c r="Y263" s="287"/>
      <c r="Z263" s="287"/>
    </row>
    <row r="264" spans="3:26" s="63" customFormat="1" ht="12" outlineLevel="1" x14ac:dyDescent="0.2">
      <c r="C264" s="64"/>
      <c r="D264" s="566" t="s">
        <v>268</v>
      </c>
      <c r="E264" s="567" t="s">
        <v>740</v>
      </c>
      <c r="F264" s="568">
        <v>0</v>
      </c>
      <c r="G264" s="618">
        <v>20</v>
      </c>
      <c r="H264" s="616">
        <f t="shared" ref="H264:H266" si="137">IF(J264="NO", F264*G264,SUM(J264:V264))</f>
        <v>0</v>
      </c>
      <c r="J264" s="617" t="s">
        <v>569</v>
      </c>
      <c r="K264" s="618">
        <v>0</v>
      </c>
      <c r="L264" s="618">
        <v>0</v>
      </c>
      <c r="M264" s="618">
        <v>0</v>
      </c>
      <c r="N264" s="618">
        <v>0</v>
      </c>
      <c r="O264" s="618">
        <v>0</v>
      </c>
      <c r="P264" s="618">
        <v>0</v>
      </c>
      <c r="Q264" s="618">
        <v>0</v>
      </c>
      <c r="R264" s="618">
        <v>0</v>
      </c>
      <c r="S264" s="618">
        <v>0</v>
      </c>
      <c r="T264" s="618">
        <v>0</v>
      </c>
      <c r="U264" s="618">
        <v>0</v>
      </c>
      <c r="V264" s="618">
        <v>0</v>
      </c>
      <c r="W264" s="616">
        <f t="shared" ref="W264:W266" si="138">SUM(K264:V264)</f>
        <v>0</v>
      </c>
      <c r="Y264" s="287"/>
      <c r="Z264" s="287"/>
    </row>
    <row r="265" spans="3:26" s="63" customFormat="1" ht="12" outlineLevel="1" x14ac:dyDescent="0.2">
      <c r="C265" s="64"/>
      <c r="D265" s="566" t="s">
        <v>266</v>
      </c>
      <c r="E265" s="567" t="s">
        <v>741</v>
      </c>
      <c r="F265" s="568">
        <v>1</v>
      </c>
      <c r="G265" s="618">
        <v>622</v>
      </c>
      <c r="H265" s="616">
        <f>IF(J265="NO", F265*G265,SUM(J265:V265))</f>
        <v>621.72</v>
      </c>
      <c r="J265" s="617" t="s">
        <v>569</v>
      </c>
      <c r="K265" s="618">
        <v>0</v>
      </c>
      <c r="L265" s="618">
        <v>0</v>
      </c>
      <c r="M265" s="618">
        <v>621.72</v>
      </c>
      <c r="N265" s="618">
        <v>0</v>
      </c>
      <c r="O265" s="618">
        <v>0</v>
      </c>
      <c r="P265" s="618">
        <v>0</v>
      </c>
      <c r="Q265" s="618">
        <v>0</v>
      </c>
      <c r="R265" s="618">
        <v>0</v>
      </c>
      <c r="S265" s="618">
        <v>0</v>
      </c>
      <c r="T265" s="618">
        <v>0</v>
      </c>
      <c r="U265" s="618">
        <v>0</v>
      </c>
      <c r="V265" s="618">
        <v>0</v>
      </c>
      <c r="W265" s="616">
        <f>SUM(K265:V265)</f>
        <v>621.72</v>
      </c>
      <c r="Y265" s="287"/>
      <c r="Z265" s="287"/>
    </row>
    <row r="266" spans="3:26" s="63" customFormat="1" ht="12" outlineLevel="1" x14ac:dyDescent="0.2">
      <c r="C266" s="64"/>
      <c r="D266" s="566" t="s">
        <v>258</v>
      </c>
      <c r="E266" s="567"/>
      <c r="F266" s="568">
        <v>0</v>
      </c>
      <c r="G266" s="618">
        <v>0</v>
      </c>
      <c r="H266" s="616">
        <f t="shared" si="137"/>
        <v>0</v>
      </c>
      <c r="J266" s="617" t="s">
        <v>564</v>
      </c>
      <c r="K266" s="618">
        <v>0</v>
      </c>
      <c r="L266" s="618">
        <v>0</v>
      </c>
      <c r="M266" s="618">
        <v>0</v>
      </c>
      <c r="N266" s="618">
        <v>0</v>
      </c>
      <c r="O266" s="618">
        <v>0</v>
      </c>
      <c r="P266" s="618">
        <v>0</v>
      </c>
      <c r="Q266" s="618">
        <v>0</v>
      </c>
      <c r="R266" s="618">
        <v>0</v>
      </c>
      <c r="S266" s="618">
        <v>0</v>
      </c>
      <c r="T266" s="618">
        <v>0</v>
      </c>
      <c r="U266" s="618">
        <v>0</v>
      </c>
      <c r="V266" s="618">
        <v>0</v>
      </c>
      <c r="W266" s="616">
        <f t="shared" si="138"/>
        <v>0</v>
      </c>
      <c r="Y266" s="287"/>
      <c r="Z266" s="287"/>
    </row>
    <row r="267" spans="3:26" s="63" customFormat="1" ht="3.6" customHeight="1" outlineLevel="1" thickBot="1" x14ac:dyDescent="0.25">
      <c r="C267" s="64"/>
      <c r="D267" s="294"/>
      <c r="E267" s="299"/>
      <c r="F267" s="281"/>
      <c r="G267" s="563"/>
      <c r="H267" s="556"/>
      <c r="J267" s="619"/>
      <c r="K267" s="563"/>
      <c r="L267" s="563"/>
      <c r="M267" s="563"/>
      <c r="N267" s="563"/>
      <c r="O267" s="563"/>
      <c r="P267" s="563"/>
      <c r="Q267" s="563"/>
      <c r="R267" s="563"/>
      <c r="S267" s="563"/>
      <c r="T267" s="563"/>
      <c r="U267" s="563"/>
      <c r="V267" s="563"/>
      <c r="W267" s="556"/>
      <c r="Y267" s="287"/>
      <c r="Z267" s="287"/>
    </row>
    <row r="268" spans="3:26" s="63" customFormat="1" ht="12.75" thickBot="1" x14ac:dyDescent="0.25">
      <c r="C268" s="64"/>
      <c r="D268" s="292"/>
      <c r="E268" s="298"/>
      <c r="F268" s="282" t="str">
        <f>E263</f>
        <v>Printing and Binding</v>
      </c>
      <c r="G268" s="564">
        <f>C263</f>
        <v>6550</v>
      </c>
      <c r="H268" s="557">
        <f>SUBTOTAL(9,H264:H267)</f>
        <v>621.72</v>
      </c>
      <c r="J268" s="624"/>
      <c r="K268" s="622">
        <f>SUBTOTAL(9,K264:K267)</f>
        <v>0</v>
      </c>
      <c r="L268" s="622">
        <f t="shared" ref="L268:V268" si="139">SUBTOTAL(9,L264:L267)</f>
        <v>0</v>
      </c>
      <c r="M268" s="622">
        <f t="shared" si="139"/>
        <v>621.72</v>
      </c>
      <c r="N268" s="622">
        <f t="shared" si="139"/>
        <v>0</v>
      </c>
      <c r="O268" s="622">
        <f t="shared" si="139"/>
        <v>0</v>
      </c>
      <c r="P268" s="622">
        <f t="shared" si="139"/>
        <v>0</v>
      </c>
      <c r="Q268" s="622">
        <f t="shared" si="139"/>
        <v>0</v>
      </c>
      <c r="R268" s="622">
        <f t="shared" si="139"/>
        <v>0</v>
      </c>
      <c r="S268" s="622">
        <f t="shared" si="139"/>
        <v>0</v>
      </c>
      <c r="T268" s="622">
        <f t="shared" si="139"/>
        <v>0</v>
      </c>
      <c r="U268" s="622">
        <f t="shared" si="139"/>
        <v>0</v>
      </c>
      <c r="V268" s="622">
        <f t="shared" si="139"/>
        <v>0</v>
      </c>
      <c r="W268" s="557">
        <f>SUBTOTAL(9,W264:W267)</f>
        <v>621.72</v>
      </c>
      <c r="X268" s="63" t="str">
        <f>IF(H268=W268,"OK","Error")</f>
        <v>OK</v>
      </c>
      <c r="Y268" s="287">
        <v>0</v>
      </c>
      <c r="Z268" s="287">
        <f>H268-Y268</f>
        <v>621.72</v>
      </c>
    </row>
    <row r="269" spans="3:26" s="63" customFormat="1" ht="12" outlineLevel="1" x14ac:dyDescent="0.2">
      <c r="C269" s="64"/>
      <c r="D269" s="292"/>
      <c r="E269" s="298"/>
      <c r="F269" s="279"/>
      <c r="G269" s="561"/>
      <c r="H269" s="553"/>
      <c r="J269" s="613"/>
      <c r="K269" s="561"/>
      <c r="L269" s="561"/>
      <c r="M269" s="561"/>
      <c r="N269" s="561"/>
      <c r="O269" s="561"/>
      <c r="P269" s="561"/>
      <c r="Q269" s="561"/>
      <c r="R269" s="561"/>
      <c r="S269" s="561"/>
      <c r="T269" s="561"/>
      <c r="U269" s="561"/>
      <c r="V269" s="561"/>
      <c r="W269" s="553"/>
      <c r="Y269" s="287"/>
      <c r="Z269" s="287"/>
    </row>
    <row r="270" spans="3:26" s="63" customFormat="1" ht="12" outlineLevel="1" x14ac:dyDescent="0.2">
      <c r="C270" s="670">
        <v>6568</v>
      </c>
      <c r="D270" s="292"/>
      <c r="E270" s="298" t="s">
        <v>326</v>
      </c>
      <c r="F270" s="279"/>
      <c r="G270" s="561"/>
      <c r="H270" s="553"/>
      <c r="J270" s="613"/>
      <c r="K270" s="561"/>
      <c r="L270" s="561"/>
      <c r="M270" s="561"/>
      <c r="N270" s="561"/>
      <c r="O270" s="561"/>
      <c r="P270" s="561"/>
      <c r="Q270" s="561"/>
      <c r="R270" s="561"/>
      <c r="S270" s="561"/>
      <c r="T270" s="561"/>
      <c r="U270" s="561"/>
      <c r="V270" s="561"/>
      <c r="W270" s="553"/>
      <c r="Y270" s="287"/>
      <c r="Z270" s="287"/>
    </row>
    <row r="271" spans="3:26" s="63" customFormat="1" ht="12" outlineLevel="1" x14ac:dyDescent="0.2">
      <c r="C271" s="64"/>
      <c r="D271" s="593" t="s">
        <v>258</v>
      </c>
      <c r="E271" s="594"/>
      <c r="F271" s="573"/>
      <c r="G271" s="540">
        <v>0</v>
      </c>
      <c r="H271" s="555">
        <f t="shared" ref="H271:H273" si="140">F271*G271</f>
        <v>0</v>
      </c>
      <c r="J271" s="626" t="s">
        <v>564</v>
      </c>
      <c r="K271" s="627">
        <v>0</v>
      </c>
      <c r="L271" s="627">
        <v>0</v>
      </c>
      <c r="M271" s="627">
        <v>0</v>
      </c>
      <c r="N271" s="627">
        <v>0</v>
      </c>
      <c r="O271" s="627">
        <v>0</v>
      </c>
      <c r="P271" s="627">
        <v>0</v>
      </c>
      <c r="Q271" s="627">
        <v>0</v>
      </c>
      <c r="R271" s="627">
        <v>0</v>
      </c>
      <c r="S271" s="627">
        <v>0</v>
      </c>
      <c r="T271" s="627">
        <v>0</v>
      </c>
      <c r="U271" s="627">
        <v>0</v>
      </c>
      <c r="V271" s="627">
        <v>0</v>
      </c>
      <c r="W271" s="628">
        <f t="shared" ref="W271:W273" si="141">SUM(K271:V271)</f>
        <v>0</v>
      </c>
      <c r="Y271" s="287"/>
      <c r="Z271" s="287"/>
    </row>
    <row r="272" spans="3:26" s="63" customFormat="1" ht="12" outlineLevel="1" x14ac:dyDescent="0.2">
      <c r="C272" s="64"/>
      <c r="D272" s="593" t="s">
        <v>258</v>
      </c>
      <c r="E272" s="594"/>
      <c r="F272" s="573"/>
      <c r="G272" s="540">
        <v>0</v>
      </c>
      <c r="H272" s="555">
        <f t="shared" si="140"/>
        <v>0</v>
      </c>
      <c r="J272" s="626" t="s">
        <v>564</v>
      </c>
      <c r="K272" s="627">
        <v>0</v>
      </c>
      <c r="L272" s="627">
        <v>0</v>
      </c>
      <c r="M272" s="627">
        <v>0</v>
      </c>
      <c r="N272" s="627">
        <v>0</v>
      </c>
      <c r="O272" s="627">
        <v>0</v>
      </c>
      <c r="P272" s="627">
        <v>0</v>
      </c>
      <c r="Q272" s="627">
        <v>0</v>
      </c>
      <c r="R272" s="627">
        <v>0</v>
      </c>
      <c r="S272" s="627">
        <v>0</v>
      </c>
      <c r="T272" s="627">
        <v>0</v>
      </c>
      <c r="U272" s="627">
        <v>0</v>
      </c>
      <c r="V272" s="627">
        <v>0</v>
      </c>
      <c r="W272" s="628">
        <f t="shared" si="141"/>
        <v>0</v>
      </c>
      <c r="Y272" s="287"/>
      <c r="Z272" s="287"/>
    </row>
    <row r="273" spans="3:26" s="63" customFormat="1" ht="12" outlineLevel="1" x14ac:dyDescent="0.2">
      <c r="C273" s="64"/>
      <c r="D273" s="571" t="s">
        <v>258</v>
      </c>
      <c r="E273" s="572"/>
      <c r="F273" s="573">
        <v>0</v>
      </c>
      <c r="G273" s="540">
        <v>0</v>
      </c>
      <c r="H273" s="555">
        <f t="shared" si="140"/>
        <v>0</v>
      </c>
      <c r="J273" s="626" t="s">
        <v>564</v>
      </c>
      <c r="K273" s="627">
        <v>0</v>
      </c>
      <c r="L273" s="627">
        <v>0</v>
      </c>
      <c r="M273" s="627">
        <v>0</v>
      </c>
      <c r="N273" s="627">
        <v>0</v>
      </c>
      <c r="O273" s="627">
        <v>0</v>
      </c>
      <c r="P273" s="627">
        <v>0</v>
      </c>
      <c r="Q273" s="627">
        <v>0</v>
      </c>
      <c r="R273" s="627">
        <v>0</v>
      </c>
      <c r="S273" s="627">
        <v>0</v>
      </c>
      <c r="T273" s="627">
        <v>0</v>
      </c>
      <c r="U273" s="627">
        <v>0</v>
      </c>
      <c r="V273" s="627">
        <v>0</v>
      </c>
      <c r="W273" s="628">
        <f t="shared" si="141"/>
        <v>0</v>
      </c>
      <c r="Y273" s="287"/>
      <c r="Z273" s="287"/>
    </row>
    <row r="274" spans="3:26" s="63" customFormat="1" ht="3.6" customHeight="1" outlineLevel="1" thickBot="1" x14ac:dyDescent="0.25">
      <c r="C274" s="64"/>
      <c r="D274" s="294"/>
      <c r="E274" s="299"/>
      <c r="F274" s="281"/>
      <c r="G274" s="563"/>
      <c r="H274" s="556"/>
      <c r="J274" s="619"/>
      <c r="K274" s="563"/>
      <c r="L274" s="563"/>
      <c r="M274" s="563"/>
      <c r="N274" s="563"/>
      <c r="O274" s="563"/>
      <c r="P274" s="563"/>
      <c r="Q274" s="563"/>
      <c r="R274" s="563"/>
      <c r="S274" s="563"/>
      <c r="T274" s="563"/>
      <c r="U274" s="563"/>
      <c r="V274" s="563"/>
      <c r="W274" s="556"/>
      <c r="Y274" s="287"/>
      <c r="Z274" s="287"/>
    </row>
    <row r="275" spans="3:26" s="63" customFormat="1" ht="12.75" thickBot="1" x14ac:dyDescent="0.25">
      <c r="C275" s="64"/>
      <c r="D275" s="292"/>
      <c r="E275" s="298"/>
      <c r="F275" s="282" t="str">
        <f>E270</f>
        <v>Tuition-Other (Grant ONLY)</v>
      </c>
      <c r="G275" s="564">
        <f>C270</f>
        <v>6568</v>
      </c>
      <c r="H275" s="557">
        <f>SUBTOTAL(9,H271:H274)</f>
        <v>0</v>
      </c>
      <c r="J275" s="624"/>
      <c r="K275" s="622">
        <f t="shared" ref="K275:W275" si="142">SUBTOTAL(9,K271:K274)</f>
        <v>0</v>
      </c>
      <c r="L275" s="622">
        <f t="shared" si="142"/>
        <v>0</v>
      </c>
      <c r="M275" s="622">
        <f t="shared" si="142"/>
        <v>0</v>
      </c>
      <c r="N275" s="622">
        <f t="shared" si="142"/>
        <v>0</v>
      </c>
      <c r="O275" s="622">
        <f t="shared" si="142"/>
        <v>0</v>
      </c>
      <c r="P275" s="622">
        <f t="shared" si="142"/>
        <v>0</v>
      </c>
      <c r="Q275" s="622">
        <f t="shared" si="142"/>
        <v>0</v>
      </c>
      <c r="R275" s="622">
        <f t="shared" si="142"/>
        <v>0</v>
      </c>
      <c r="S275" s="622">
        <f t="shared" si="142"/>
        <v>0</v>
      </c>
      <c r="T275" s="622">
        <f t="shared" si="142"/>
        <v>0</v>
      </c>
      <c r="U275" s="622">
        <f t="shared" si="142"/>
        <v>0</v>
      </c>
      <c r="V275" s="622">
        <f t="shared" si="142"/>
        <v>0</v>
      </c>
      <c r="W275" s="557">
        <f t="shared" si="142"/>
        <v>0</v>
      </c>
      <c r="X275" s="63" t="str">
        <f>IF(H275=W275,"OK","Error")</f>
        <v>OK</v>
      </c>
      <c r="Y275" s="287">
        <v>0</v>
      </c>
      <c r="Z275" s="287">
        <f>H275-Y275</f>
        <v>0</v>
      </c>
    </row>
    <row r="276" spans="3:26" s="63" customFormat="1" ht="12" outlineLevel="1" x14ac:dyDescent="0.2">
      <c r="C276" s="64"/>
      <c r="D276" s="292"/>
      <c r="E276" s="298"/>
      <c r="F276" s="279"/>
      <c r="G276" s="561"/>
      <c r="H276" s="553"/>
      <c r="J276" s="613"/>
      <c r="K276" s="561"/>
      <c r="L276" s="561"/>
      <c r="M276" s="561"/>
      <c r="N276" s="561"/>
      <c r="O276" s="561"/>
      <c r="P276" s="561"/>
      <c r="Q276" s="561"/>
      <c r="R276" s="561"/>
      <c r="S276" s="561"/>
      <c r="T276" s="561"/>
      <c r="U276" s="561"/>
      <c r="V276" s="561"/>
      <c r="W276" s="553"/>
      <c r="Y276" s="287"/>
      <c r="Z276" s="287"/>
    </row>
    <row r="277" spans="3:26" s="63" customFormat="1" ht="12" outlineLevel="1" x14ac:dyDescent="0.2">
      <c r="C277" s="670">
        <v>6569</v>
      </c>
      <c r="D277" s="292"/>
      <c r="E277" s="298" t="s">
        <v>32</v>
      </c>
      <c r="F277" s="279"/>
      <c r="G277" s="561"/>
      <c r="H277" s="553"/>
      <c r="J277" s="613"/>
      <c r="K277" s="561"/>
      <c r="L277" s="561"/>
      <c r="M277" s="561"/>
      <c r="N277" s="561"/>
      <c r="O277" s="561"/>
      <c r="P277" s="561"/>
      <c r="Q277" s="561"/>
      <c r="R277" s="561"/>
      <c r="S277" s="561"/>
      <c r="T277" s="561"/>
      <c r="U277" s="561"/>
      <c r="V277" s="561"/>
      <c r="W277" s="553"/>
      <c r="Y277" s="287"/>
      <c r="Z277" s="287"/>
    </row>
    <row r="278" spans="3:26" s="63" customFormat="1" ht="12" outlineLevel="1" x14ac:dyDescent="0.2">
      <c r="C278" s="64"/>
      <c r="D278" s="566" t="s">
        <v>258</v>
      </c>
      <c r="E278" s="567"/>
      <c r="F278" s="568">
        <v>0</v>
      </c>
      <c r="G278" s="618">
        <v>0</v>
      </c>
      <c r="H278" s="616">
        <f>IF(J278="NO", F278*G278,SUM(J278:V278))</f>
        <v>0</v>
      </c>
      <c r="J278" s="617" t="s">
        <v>569</v>
      </c>
      <c r="K278" s="618">
        <v>0</v>
      </c>
      <c r="L278" s="618">
        <v>0</v>
      </c>
      <c r="M278" s="618">
        <v>0</v>
      </c>
      <c r="N278" s="618">
        <v>0</v>
      </c>
      <c r="O278" s="618">
        <v>0</v>
      </c>
      <c r="P278" s="618">
        <v>0</v>
      </c>
      <c r="Q278" s="618">
        <v>0</v>
      </c>
      <c r="R278" s="618">
        <v>0</v>
      </c>
      <c r="S278" s="618">
        <v>0</v>
      </c>
      <c r="T278" s="618">
        <v>0</v>
      </c>
      <c r="U278" s="618">
        <v>0</v>
      </c>
      <c r="V278" s="618">
        <v>0</v>
      </c>
      <c r="W278" s="616">
        <f t="shared" ref="W278:W280" si="143">SUM(K278:V278)</f>
        <v>0</v>
      </c>
      <c r="Y278" s="287"/>
      <c r="Z278" s="287"/>
    </row>
    <row r="279" spans="3:26" s="63" customFormat="1" ht="12" outlineLevel="1" x14ac:dyDescent="0.2">
      <c r="C279" s="64"/>
      <c r="D279" s="566" t="s">
        <v>258</v>
      </c>
      <c r="E279" s="567"/>
      <c r="F279" s="568">
        <v>0</v>
      </c>
      <c r="G279" s="618">
        <v>0</v>
      </c>
      <c r="H279" s="616">
        <f t="shared" ref="H279:H280" si="144">IF(J279="NO", F279*G279,SUM(J279:V279))</f>
        <v>0</v>
      </c>
      <c r="J279" s="617" t="s">
        <v>569</v>
      </c>
      <c r="K279" s="618">
        <v>0</v>
      </c>
      <c r="L279" s="618">
        <v>0</v>
      </c>
      <c r="M279" s="618">
        <v>0</v>
      </c>
      <c r="N279" s="618">
        <v>0</v>
      </c>
      <c r="O279" s="618">
        <v>0</v>
      </c>
      <c r="P279" s="618">
        <v>0</v>
      </c>
      <c r="Q279" s="618">
        <v>0</v>
      </c>
      <c r="R279" s="618">
        <v>0</v>
      </c>
      <c r="S279" s="618">
        <v>0</v>
      </c>
      <c r="T279" s="618">
        <v>0</v>
      </c>
      <c r="U279" s="618">
        <v>0</v>
      </c>
      <c r="V279" s="618">
        <v>0</v>
      </c>
      <c r="W279" s="616">
        <f t="shared" si="143"/>
        <v>0</v>
      </c>
      <c r="Y279" s="287"/>
      <c r="Z279" s="287"/>
    </row>
    <row r="280" spans="3:26" s="63" customFormat="1" ht="12" outlineLevel="1" x14ac:dyDescent="0.2">
      <c r="C280" s="64"/>
      <c r="D280" s="571" t="s">
        <v>258</v>
      </c>
      <c r="E280" s="572" t="s">
        <v>574</v>
      </c>
      <c r="F280" s="573">
        <v>0</v>
      </c>
      <c r="G280" s="574">
        <v>0</v>
      </c>
      <c r="H280" s="616">
        <f t="shared" si="144"/>
        <v>0</v>
      </c>
      <c r="J280" s="626" t="s">
        <v>569</v>
      </c>
      <c r="K280" s="627">
        <v>0</v>
      </c>
      <c r="L280" s="627">
        <v>0</v>
      </c>
      <c r="M280" s="627">
        <v>0</v>
      </c>
      <c r="N280" s="627">
        <v>0</v>
      </c>
      <c r="O280" s="627">
        <v>0</v>
      </c>
      <c r="P280" s="627">
        <v>0</v>
      </c>
      <c r="Q280" s="627">
        <v>0</v>
      </c>
      <c r="R280" s="627">
        <v>0</v>
      </c>
      <c r="S280" s="627">
        <v>0</v>
      </c>
      <c r="T280" s="627">
        <v>0</v>
      </c>
      <c r="U280" s="627">
        <v>0</v>
      </c>
      <c r="V280" s="627">
        <v>0</v>
      </c>
      <c r="W280" s="628">
        <f t="shared" si="143"/>
        <v>0</v>
      </c>
      <c r="Y280" s="287"/>
      <c r="Z280" s="287"/>
    </row>
    <row r="281" spans="3:26" s="63" customFormat="1" ht="3.6" customHeight="1" outlineLevel="1" thickBot="1" x14ac:dyDescent="0.25">
      <c r="C281" s="64"/>
      <c r="D281" s="294"/>
      <c r="E281" s="299"/>
      <c r="F281" s="281"/>
      <c r="G281" s="563"/>
      <c r="H281" s="556"/>
      <c r="J281" s="619"/>
      <c r="K281" s="563"/>
      <c r="L281" s="563"/>
      <c r="M281" s="563"/>
      <c r="N281" s="563"/>
      <c r="O281" s="563"/>
      <c r="P281" s="563"/>
      <c r="Q281" s="563"/>
      <c r="R281" s="563"/>
      <c r="S281" s="563"/>
      <c r="T281" s="563"/>
      <c r="U281" s="563"/>
      <c r="V281" s="563"/>
      <c r="W281" s="556"/>
      <c r="Y281" s="287"/>
      <c r="Z281" s="287"/>
    </row>
    <row r="282" spans="3:26" s="63" customFormat="1" ht="12.75" thickBot="1" x14ac:dyDescent="0.25">
      <c r="C282" s="64"/>
      <c r="D282" s="292"/>
      <c r="E282" s="298"/>
      <c r="F282" s="282" t="str">
        <f>E277</f>
        <v>Tuition-Other</v>
      </c>
      <c r="G282" s="564">
        <f>C277</f>
        <v>6569</v>
      </c>
      <c r="H282" s="557">
        <f>SUBTOTAL(9,H278:H281)</f>
        <v>0</v>
      </c>
      <c r="J282" s="624"/>
      <c r="K282" s="622">
        <f>SUBTOTAL(9,K278:K281)</f>
        <v>0</v>
      </c>
      <c r="L282" s="622">
        <f t="shared" ref="L282:V282" si="145">SUBTOTAL(9,L279:L281)</f>
        <v>0</v>
      </c>
      <c r="M282" s="622">
        <f t="shared" si="145"/>
        <v>0</v>
      </c>
      <c r="N282" s="622">
        <f t="shared" si="145"/>
        <v>0</v>
      </c>
      <c r="O282" s="622">
        <f t="shared" si="145"/>
        <v>0</v>
      </c>
      <c r="P282" s="622">
        <f t="shared" si="145"/>
        <v>0</v>
      </c>
      <c r="Q282" s="622">
        <f t="shared" si="145"/>
        <v>0</v>
      </c>
      <c r="R282" s="622">
        <f t="shared" si="145"/>
        <v>0</v>
      </c>
      <c r="S282" s="622">
        <f t="shared" si="145"/>
        <v>0</v>
      </c>
      <c r="T282" s="622">
        <f t="shared" si="145"/>
        <v>0</v>
      </c>
      <c r="U282" s="622">
        <f t="shared" si="145"/>
        <v>0</v>
      </c>
      <c r="V282" s="622">
        <f t="shared" si="145"/>
        <v>0</v>
      </c>
      <c r="W282" s="557">
        <f>SUBTOTAL(9,W278:W281)</f>
        <v>0</v>
      </c>
      <c r="X282" s="63" t="str">
        <f>IF(H282=W282,"OK","Error")</f>
        <v>OK</v>
      </c>
      <c r="Y282" s="287">
        <v>0</v>
      </c>
      <c r="Z282" s="287">
        <f>H282-Y282</f>
        <v>0</v>
      </c>
    </row>
    <row r="283" spans="3:26" s="63" customFormat="1" ht="12" outlineLevel="1" x14ac:dyDescent="0.2">
      <c r="C283" s="64"/>
      <c r="D283" s="292"/>
      <c r="E283" s="298"/>
      <c r="F283" s="279"/>
      <c r="G283" s="561"/>
      <c r="H283" s="553"/>
      <c r="J283" s="613"/>
      <c r="K283" s="561"/>
      <c r="L283" s="561"/>
      <c r="M283" s="561"/>
      <c r="N283" s="561"/>
      <c r="O283" s="561"/>
      <c r="P283" s="561"/>
      <c r="Q283" s="561"/>
      <c r="R283" s="561"/>
      <c r="S283" s="561"/>
      <c r="T283" s="561"/>
      <c r="U283" s="561"/>
      <c r="V283" s="561"/>
      <c r="W283" s="553"/>
      <c r="Y283" s="287"/>
      <c r="Z283" s="287"/>
    </row>
    <row r="284" spans="3:26" s="63" customFormat="1" ht="12" outlineLevel="1" x14ac:dyDescent="0.2">
      <c r="C284" s="670">
        <v>6580</v>
      </c>
      <c r="D284" s="292"/>
      <c r="E284" s="298" t="s">
        <v>33</v>
      </c>
      <c r="F284" s="279"/>
      <c r="G284" s="561"/>
      <c r="H284" s="553"/>
      <c r="J284" s="613"/>
      <c r="K284" s="561"/>
      <c r="L284" s="561"/>
      <c r="M284" s="561"/>
      <c r="N284" s="561"/>
      <c r="O284" s="561"/>
      <c r="P284" s="561"/>
      <c r="Q284" s="561"/>
      <c r="R284" s="561"/>
      <c r="S284" s="561"/>
      <c r="T284" s="561"/>
      <c r="U284" s="561"/>
      <c r="V284" s="561"/>
      <c r="W284" s="553"/>
      <c r="Y284" s="287"/>
      <c r="Z284" s="287"/>
    </row>
    <row r="285" spans="3:26" s="63" customFormat="1" ht="12" outlineLevel="1" x14ac:dyDescent="0.2">
      <c r="C285" s="64"/>
      <c r="D285" s="610" t="s">
        <v>290</v>
      </c>
      <c r="E285" s="569" t="s">
        <v>614</v>
      </c>
      <c r="F285" s="570">
        <v>3</v>
      </c>
      <c r="G285" s="672">
        <v>85</v>
      </c>
      <c r="H285" s="616">
        <f>IF(J285="NO", F285*G285,SUM(J285:V285))</f>
        <v>255</v>
      </c>
      <c r="J285" s="614" t="s">
        <v>564</v>
      </c>
      <c r="K285" s="615"/>
      <c r="L285" s="615"/>
      <c r="M285" s="615"/>
      <c r="N285" s="615"/>
      <c r="O285" s="615"/>
      <c r="P285" s="615">
        <f>H285</f>
        <v>255</v>
      </c>
      <c r="Q285" s="615"/>
      <c r="R285" s="615"/>
      <c r="S285" s="615"/>
      <c r="T285" s="615"/>
      <c r="U285" s="615"/>
      <c r="V285" s="615"/>
      <c r="W285" s="616">
        <f t="shared" ref="W285:W302" si="146">SUM(K285:V285)</f>
        <v>255</v>
      </c>
      <c r="Y285" s="287"/>
      <c r="Z285" s="287"/>
    </row>
    <row r="286" spans="3:26" s="63" customFormat="1" ht="12" outlineLevel="1" x14ac:dyDescent="0.2">
      <c r="C286" s="64"/>
      <c r="D286" s="610" t="s">
        <v>290</v>
      </c>
      <c r="E286" s="569" t="s">
        <v>615</v>
      </c>
      <c r="F286" s="570">
        <v>3</v>
      </c>
      <c r="G286" s="672">
        <v>750</v>
      </c>
      <c r="H286" s="616">
        <f t="shared" ref="H286:H303" si="147">IF(J286="NO", F286*G286,SUM(J286:V286))</f>
        <v>2250</v>
      </c>
      <c r="J286" s="614" t="s">
        <v>564</v>
      </c>
      <c r="K286" s="615"/>
      <c r="L286" s="615"/>
      <c r="M286" s="615"/>
      <c r="N286" s="615"/>
      <c r="O286" s="615">
        <f>H286</f>
        <v>2250</v>
      </c>
      <c r="P286" s="615"/>
      <c r="Q286" s="615"/>
      <c r="R286" s="615"/>
      <c r="S286" s="615"/>
      <c r="T286" s="615"/>
      <c r="U286" s="615"/>
      <c r="V286" s="615"/>
      <c r="W286" s="616">
        <f t="shared" ref="W286:W287" si="148">SUM(K286:V286)</f>
        <v>2250</v>
      </c>
      <c r="Y286" s="287"/>
      <c r="Z286" s="287"/>
    </row>
    <row r="287" spans="3:26" s="63" customFormat="1" ht="12" outlineLevel="1" x14ac:dyDescent="0.2">
      <c r="C287" s="64"/>
      <c r="D287" s="610" t="s">
        <v>290</v>
      </c>
      <c r="E287" s="569" t="s">
        <v>616</v>
      </c>
      <c r="F287" s="570">
        <v>3</v>
      </c>
      <c r="G287" s="672">
        <v>750</v>
      </c>
      <c r="H287" s="616">
        <f t="shared" si="147"/>
        <v>2250</v>
      </c>
      <c r="J287" s="614" t="s">
        <v>564</v>
      </c>
      <c r="K287" s="615"/>
      <c r="L287" s="615"/>
      <c r="M287" s="615">
        <v>0</v>
      </c>
      <c r="N287" s="615"/>
      <c r="O287" s="615">
        <f>H287</f>
        <v>2250</v>
      </c>
      <c r="P287" s="615"/>
      <c r="Q287" s="615"/>
      <c r="R287" s="615"/>
      <c r="S287" s="615"/>
      <c r="T287" s="615"/>
      <c r="U287" s="615"/>
      <c r="V287" s="615"/>
      <c r="W287" s="616">
        <f t="shared" si="148"/>
        <v>2250</v>
      </c>
      <c r="Y287" s="287"/>
      <c r="Z287" s="287"/>
    </row>
    <row r="288" spans="3:26" s="63" customFormat="1" ht="12" outlineLevel="1" x14ac:dyDescent="0.2">
      <c r="C288" s="64"/>
      <c r="D288" s="566" t="s">
        <v>265</v>
      </c>
      <c r="E288" s="567" t="s">
        <v>742</v>
      </c>
      <c r="F288" s="568">
        <v>6</v>
      </c>
      <c r="G288" s="618">
        <v>400</v>
      </c>
      <c r="H288" s="616">
        <f t="shared" si="147"/>
        <v>2400</v>
      </c>
      <c r="J288" s="617" t="s">
        <v>569</v>
      </c>
      <c r="K288" s="618">
        <v>0</v>
      </c>
      <c r="L288" s="618">
        <v>400</v>
      </c>
      <c r="M288" s="618">
        <v>400</v>
      </c>
      <c r="N288" s="618">
        <v>0</v>
      </c>
      <c r="O288" s="618">
        <v>400</v>
      </c>
      <c r="P288" s="618">
        <v>400</v>
      </c>
      <c r="Q288" s="618">
        <v>0</v>
      </c>
      <c r="R288" s="618">
        <v>0</v>
      </c>
      <c r="S288" s="618">
        <v>400</v>
      </c>
      <c r="T288" s="618">
        <v>400</v>
      </c>
      <c r="U288" s="618">
        <v>0</v>
      </c>
      <c r="V288" s="618">
        <v>0</v>
      </c>
      <c r="W288" s="616">
        <f t="shared" si="146"/>
        <v>2400</v>
      </c>
      <c r="Y288" s="287"/>
      <c r="Z288" s="287"/>
    </row>
    <row r="289" spans="3:26" s="63" customFormat="1" ht="12" outlineLevel="1" x14ac:dyDescent="0.2">
      <c r="C289" s="64"/>
      <c r="D289" s="566" t="s">
        <v>266</v>
      </c>
      <c r="E289" s="567" t="s">
        <v>743</v>
      </c>
      <c r="F289" s="568">
        <v>4</v>
      </c>
      <c r="G289" s="618">
        <v>400</v>
      </c>
      <c r="H289" s="616">
        <f t="shared" si="147"/>
        <v>1600</v>
      </c>
      <c r="J289" s="617" t="s">
        <v>569</v>
      </c>
      <c r="K289" s="618">
        <v>400</v>
      </c>
      <c r="L289" s="618">
        <v>0</v>
      </c>
      <c r="M289" s="618">
        <v>400</v>
      </c>
      <c r="N289" s="618">
        <v>0</v>
      </c>
      <c r="O289" s="618">
        <v>0</v>
      </c>
      <c r="P289" s="618">
        <v>0</v>
      </c>
      <c r="Q289" s="618">
        <v>0</v>
      </c>
      <c r="R289" s="618">
        <v>0</v>
      </c>
      <c r="S289" s="618">
        <v>400</v>
      </c>
      <c r="T289" s="618">
        <v>0</v>
      </c>
      <c r="U289" s="618">
        <v>400</v>
      </c>
      <c r="V289" s="618">
        <v>0</v>
      </c>
      <c r="W289" s="616">
        <f t="shared" si="146"/>
        <v>1600</v>
      </c>
      <c r="Y289" s="287"/>
      <c r="Z289" s="287"/>
    </row>
    <row r="290" spans="3:26" s="63" customFormat="1" ht="12" outlineLevel="1" x14ac:dyDescent="0.2">
      <c r="C290" s="64"/>
      <c r="D290" s="566" t="s">
        <v>266</v>
      </c>
      <c r="E290" s="567" t="s">
        <v>744</v>
      </c>
      <c r="F290" s="568">
        <v>6</v>
      </c>
      <c r="G290" s="618">
        <v>400</v>
      </c>
      <c r="H290" s="616">
        <f t="shared" si="147"/>
        <v>2400</v>
      </c>
      <c r="J290" s="617" t="s">
        <v>569</v>
      </c>
      <c r="K290" s="618">
        <v>0</v>
      </c>
      <c r="L290" s="618">
        <v>400</v>
      </c>
      <c r="M290" s="618">
        <v>0</v>
      </c>
      <c r="N290" s="618">
        <v>400</v>
      </c>
      <c r="O290" s="618">
        <v>0</v>
      </c>
      <c r="P290" s="618">
        <v>400</v>
      </c>
      <c r="Q290" s="618">
        <v>0</v>
      </c>
      <c r="R290" s="618">
        <v>400</v>
      </c>
      <c r="S290" s="618">
        <v>0</v>
      </c>
      <c r="T290" s="618">
        <v>400</v>
      </c>
      <c r="U290" s="618">
        <v>0</v>
      </c>
      <c r="V290" s="618">
        <v>400</v>
      </c>
      <c r="W290" s="616">
        <f t="shared" si="146"/>
        <v>2400</v>
      </c>
      <c r="Y290" s="287"/>
      <c r="Z290" s="287"/>
    </row>
    <row r="291" spans="3:26" s="63" customFormat="1" ht="12" outlineLevel="1" x14ac:dyDescent="0.2">
      <c r="C291" s="64"/>
      <c r="D291" s="566" t="s">
        <v>267</v>
      </c>
      <c r="E291" s="567" t="s">
        <v>745</v>
      </c>
      <c r="F291" s="568">
        <v>8</v>
      </c>
      <c r="G291" s="618">
        <v>400</v>
      </c>
      <c r="H291" s="616">
        <f t="shared" si="147"/>
        <v>3200</v>
      </c>
      <c r="J291" s="617" t="s">
        <v>569</v>
      </c>
      <c r="K291" s="618">
        <v>0</v>
      </c>
      <c r="L291" s="618">
        <v>400</v>
      </c>
      <c r="M291" s="618">
        <v>400</v>
      </c>
      <c r="N291" s="618">
        <v>400</v>
      </c>
      <c r="O291" s="618">
        <v>400</v>
      </c>
      <c r="P291" s="618">
        <v>400</v>
      </c>
      <c r="Q291" s="618">
        <v>400</v>
      </c>
      <c r="R291" s="618">
        <v>400</v>
      </c>
      <c r="S291" s="618">
        <v>400</v>
      </c>
      <c r="T291" s="618">
        <v>0</v>
      </c>
      <c r="U291" s="618">
        <v>0</v>
      </c>
      <c r="V291" s="618">
        <v>0</v>
      </c>
      <c r="W291" s="616">
        <f t="shared" si="146"/>
        <v>3200</v>
      </c>
      <c r="Y291" s="287"/>
      <c r="Z291" s="287"/>
    </row>
    <row r="292" spans="3:26" s="63" customFormat="1" ht="12" outlineLevel="1" x14ac:dyDescent="0.2">
      <c r="C292" s="64"/>
      <c r="D292" s="566" t="s">
        <v>267</v>
      </c>
      <c r="E292" s="567" t="s">
        <v>746</v>
      </c>
      <c r="F292" s="568">
        <v>3</v>
      </c>
      <c r="G292" s="618">
        <v>400</v>
      </c>
      <c r="H292" s="616">
        <f t="shared" si="147"/>
        <v>1200</v>
      </c>
      <c r="J292" s="617" t="s">
        <v>569</v>
      </c>
      <c r="K292" s="618">
        <v>0</v>
      </c>
      <c r="L292" s="618">
        <v>400</v>
      </c>
      <c r="M292" s="618">
        <v>0</v>
      </c>
      <c r="N292" s="618">
        <v>0</v>
      </c>
      <c r="O292" s="618">
        <v>0</v>
      </c>
      <c r="P292" s="618">
        <v>400</v>
      </c>
      <c r="Q292" s="618">
        <v>0</v>
      </c>
      <c r="R292" s="618">
        <v>0</v>
      </c>
      <c r="S292" s="618">
        <v>0</v>
      </c>
      <c r="T292" s="618">
        <v>400</v>
      </c>
      <c r="U292" s="618">
        <v>0</v>
      </c>
      <c r="V292" s="618">
        <v>0</v>
      </c>
      <c r="W292" s="616">
        <f t="shared" si="146"/>
        <v>1200</v>
      </c>
      <c r="Y292" s="287"/>
      <c r="Z292" s="287"/>
    </row>
    <row r="293" spans="3:26" s="63" customFormat="1" ht="12" outlineLevel="1" x14ac:dyDescent="0.2">
      <c r="C293" s="64"/>
      <c r="D293" s="566" t="s">
        <v>268</v>
      </c>
      <c r="E293" s="567" t="s">
        <v>747</v>
      </c>
      <c r="F293" s="568">
        <v>1</v>
      </c>
      <c r="G293" s="618">
        <v>400</v>
      </c>
      <c r="H293" s="616">
        <f t="shared" si="147"/>
        <v>400</v>
      </c>
      <c r="J293" s="617" t="s">
        <v>569</v>
      </c>
      <c r="K293" s="618">
        <v>0</v>
      </c>
      <c r="L293" s="618">
        <v>0</v>
      </c>
      <c r="M293" s="618">
        <v>0</v>
      </c>
      <c r="N293" s="618">
        <v>0</v>
      </c>
      <c r="O293" s="618">
        <v>0</v>
      </c>
      <c r="P293" s="618">
        <v>0</v>
      </c>
      <c r="Q293" s="618">
        <v>0</v>
      </c>
      <c r="R293" s="618">
        <v>400</v>
      </c>
      <c r="S293" s="618">
        <v>0</v>
      </c>
      <c r="T293" s="618">
        <v>0</v>
      </c>
      <c r="U293" s="618">
        <v>0</v>
      </c>
      <c r="V293" s="618">
        <v>0</v>
      </c>
      <c r="W293" s="616">
        <f t="shared" si="146"/>
        <v>400</v>
      </c>
      <c r="Y293" s="287"/>
      <c r="Z293" s="287"/>
    </row>
    <row r="294" spans="3:26" s="63" customFormat="1" ht="12" outlineLevel="1" x14ac:dyDescent="0.2">
      <c r="C294" s="64"/>
      <c r="D294" s="566" t="s">
        <v>268</v>
      </c>
      <c r="E294" s="567" t="s">
        <v>748</v>
      </c>
      <c r="F294" s="568">
        <v>1</v>
      </c>
      <c r="G294" s="618">
        <v>400</v>
      </c>
      <c r="H294" s="616">
        <f t="shared" si="147"/>
        <v>400</v>
      </c>
      <c r="J294" s="617" t="s">
        <v>569</v>
      </c>
      <c r="K294" s="618">
        <v>0</v>
      </c>
      <c r="L294" s="618">
        <v>400</v>
      </c>
      <c r="M294" s="618">
        <v>0</v>
      </c>
      <c r="N294" s="618">
        <v>0</v>
      </c>
      <c r="O294" s="618">
        <v>0</v>
      </c>
      <c r="P294" s="618">
        <v>0</v>
      </c>
      <c r="Q294" s="618">
        <v>0</v>
      </c>
      <c r="R294" s="618">
        <v>0</v>
      </c>
      <c r="S294" s="618">
        <v>0</v>
      </c>
      <c r="T294" s="618">
        <v>0</v>
      </c>
      <c r="U294" s="618">
        <v>0</v>
      </c>
      <c r="V294" s="618">
        <v>0</v>
      </c>
      <c r="W294" s="616">
        <f t="shared" si="146"/>
        <v>400</v>
      </c>
      <c r="Y294" s="287"/>
      <c r="Z294" s="287"/>
    </row>
    <row r="295" spans="3:26" s="63" customFormat="1" ht="12" outlineLevel="1" x14ac:dyDescent="0.2">
      <c r="C295" s="64"/>
      <c r="D295" s="680" t="s">
        <v>268</v>
      </c>
      <c r="E295" s="681" t="s">
        <v>797</v>
      </c>
      <c r="F295" s="682">
        <v>2</v>
      </c>
      <c r="G295" s="650">
        <v>400</v>
      </c>
      <c r="H295" s="616">
        <f t="shared" si="147"/>
        <v>0</v>
      </c>
      <c r="J295" s="617" t="s">
        <v>569</v>
      </c>
      <c r="K295" s="618">
        <v>0</v>
      </c>
      <c r="L295" s="618">
        <v>0</v>
      </c>
      <c r="M295" s="618">
        <v>0</v>
      </c>
      <c r="N295" s="618">
        <v>0</v>
      </c>
      <c r="O295" s="618">
        <v>0</v>
      </c>
      <c r="P295" s="618">
        <v>0</v>
      </c>
      <c r="Q295" s="618">
        <v>0</v>
      </c>
      <c r="R295" s="618">
        <v>0</v>
      </c>
      <c r="S295" s="618">
        <v>0</v>
      </c>
      <c r="T295" s="618">
        <v>0</v>
      </c>
      <c r="U295" s="618">
        <v>0</v>
      </c>
      <c r="V295" s="618">
        <v>0</v>
      </c>
      <c r="W295" s="616">
        <f t="shared" si="146"/>
        <v>0</v>
      </c>
      <c r="Y295" s="287"/>
      <c r="Z295" s="287"/>
    </row>
    <row r="296" spans="3:26" s="63" customFormat="1" ht="12" outlineLevel="1" x14ac:dyDescent="0.2">
      <c r="C296" s="64"/>
      <c r="D296" s="566" t="s">
        <v>268</v>
      </c>
      <c r="E296" s="567" t="s">
        <v>749</v>
      </c>
      <c r="F296" s="568">
        <v>2</v>
      </c>
      <c r="G296" s="618">
        <v>400</v>
      </c>
      <c r="H296" s="616">
        <f t="shared" si="147"/>
        <v>800</v>
      </c>
      <c r="J296" s="617" t="s">
        <v>569</v>
      </c>
      <c r="K296" s="618">
        <v>0</v>
      </c>
      <c r="L296" s="618">
        <v>0</v>
      </c>
      <c r="M296" s="618">
        <v>0</v>
      </c>
      <c r="N296" s="618">
        <v>400</v>
      </c>
      <c r="O296" s="618">
        <v>0</v>
      </c>
      <c r="P296" s="618">
        <v>0</v>
      </c>
      <c r="Q296" s="618">
        <v>0</v>
      </c>
      <c r="R296" s="618">
        <v>0</v>
      </c>
      <c r="S296" s="618">
        <v>400</v>
      </c>
      <c r="T296" s="618">
        <v>0</v>
      </c>
      <c r="U296" s="618">
        <v>0</v>
      </c>
      <c r="V296" s="618">
        <v>0</v>
      </c>
      <c r="W296" s="616">
        <f t="shared" si="146"/>
        <v>800</v>
      </c>
      <c r="Y296" s="287"/>
      <c r="Z296" s="287"/>
    </row>
    <row r="297" spans="3:26" s="63" customFormat="1" ht="12" outlineLevel="1" x14ac:dyDescent="0.2">
      <c r="C297" s="64"/>
      <c r="D297" s="566" t="s">
        <v>268</v>
      </c>
      <c r="E297" s="567" t="s">
        <v>750</v>
      </c>
      <c r="F297" s="568">
        <v>1</v>
      </c>
      <c r="G297" s="618">
        <v>400</v>
      </c>
      <c r="H297" s="616">
        <f t="shared" si="147"/>
        <v>400</v>
      </c>
      <c r="J297" s="617" t="s">
        <v>569</v>
      </c>
      <c r="K297" s="618">
        <v>0</v>
      </c>
      <c r="L297" s="618">
        <v>0</v>
      </c>
      <c r="M297" s="618">
        <v>0</v>
      </c>
      <c r="N297" s="618">
        <v>0</v>
      </c>
      <c r="O297" s="618">
        <v>0</v>
      </c>
      <c r="P297" s="618">
        <v>0</v>
      </c>
      <c r="Q297" s="618">
        <v>0</v>
      </c>
      <c r="R297" s="618">
        <v>0</v>
      </c>
      <c r="S297" s="618">
        <v>0</v>
      </c>
      <c r="T297" s="618">
        <v>400</v>
      </c>
      <c r="U297" s="618">
        <v>0</v>
      </c>
      <c r="V297" s="618">
        <v>0</v>
      </c>
      <c r="W297" s="616">
        <f t="shared" si="146"/>
        <v>400</v>
      </c>
      <c r="Y297" s="287"/>
      <c r="Z297" s="287"/>
    </row>
    <row r="298" spans="3:26" s="63" customFormat="1" ht="12" outlineLevel="1" x14ac:dyDescent="0.2">
      <c r="C298" s="64"/>
      <c r="D298" s="566" t="s">
        <v>268</v>
      </c>
      <c r="E298" s="567" t="s">
        <v>751</v>
      </c>
      <c r="F298" s="568">
        <v>1</v>
      </c>
      <c r="G298" s="618">
        <v>400</v>
      </c>
      <c r="H298" s="616">
        <f t="shared" si="147"/>
        <v>400</v>
      </c>
      <c r="J298" s="617" t="s">
        <v>569</v>
      </c>
      <c r="K298" s="618">
        <v>0</v>
      </c>
      <c r="L298" s="618">
        <v>0</v>
      </c>
      <c r="M298" s="618">
        <v>0</v>
      </c>
      <c r="N298" s="618">
        <v>0</v>
      </c>
      <c r="O298" s="618">
        <v>0</v>
      </c>
      <c r="P298" s="618">
        <v>0</v>
      </c>
      <c r="Q298" s="618">
        <v>0</v>
      </c>
      <c r="R298" s="618">
        <v>0</v>
      </c>
      <c r="S298" s="618" t="s">
        <v>612</v>
      </c>
      <c r="T298" s="618">
        <v>400</v>
      </c>
      <c r="U298" s="618">
        <v>0</v>
      </c>
      <c r="V298" s="618">
        <v>0</v>
      </c>
      <c r="W298" s="616">
        <f t="shared" si="146"/>
        <v>400</v>
      </c>
      <c r="Y298" s="287"/>
      <c r="Z298" s="287"/>
    </row>
    <row r="299" spans="3:26" s="63" customFormat="1" ht="12" outlineLevel="1" x14ac:dyDescent="0.2">
      <c r="C299" s="64"/>
      <c r="D299" s="566" t="s">
        <v>268</v>
      </c>
      <c r="E299" s="567" t="s">
        <v>752</v>
      </c>
      <c r="F299" s="568">
        <v>1</v>
      </c>
      <c r="G299" s="618">
        <v>400</v>
      </c>
      <c r="H299" s="616">
        <f t="shared" si="147"/>
        <v>400</v>
      </c>
      <c r="J299" s="617" t="s">
        <v>569</v>
      </c>
      <c r="K299" s="618">
        <v>400</v>
      </c>
      <c r="L299" s="618">
        <v>0</v>
      </c>
      <c r="M299" s="618">
        <v>0</v>
      </c>
      <c r="N299" s="618">
        <v>0</v>
      </c>
      <c r="O299" s="618">
        <v>0</v>
      </c>
      <c r="P299" s="618">
        <v>0</v>
      </c>
      <c r="Q299" s="618">
        <v>0</v>
      </c>
      <c r="R299" s="618">
        <v>0</v>
      </c>
      <c r="S299" s="618">
        <v>0</v>
      </c>
      <c r="T299" s="618">
        <v>0</v>
      </c>
      <c r="U299" s="618">
        <v>0</v>
      </c>
      <c r="V299" s="618">
        <v>0</v>
      </c>
      <c r="W299" s="616">
        <f t="shared" si="146"/>
        <v>400</v>
      </c>
      <c r="Y299" s="287"/>
      <c r="Z299" s="287"/>
    </row>
    <row r="300" spans="3:26" s="63" customFormat="1" ht="12" outlineLevel="1" x14ac:dyDescent="0.2">
      <c r="C300" s="64"/>
      <c r="D300" s="566" t="s">
        <v>268</v>
      </c>
      <c r="E300" s="567" t="s">
        <v>753</v>
      </c>
      <c r="F300" s="568">
        <v>3</v>
      </c>
      <c r="G300" s="618">
        <v>400</v>
      </c>
      <c r="H300" s="616">
        <f t="shared" si="147"/>
        <v>1200</v>
      </c>
      <c r="J300" s="617" t="s">
        <v>569</v>
      </c>
      <c r="K300" s="618">
        <v>400</v>
      </c>
      <c r="L300" s="618">
        <v>0</v>
      </c>
      <c r="M300" s="618">
        <v>0</v>
      </c>
      <c r="N300" s="618">
        <v>0</v>
      </c>
      <c r="O300" s="618">
        <v>400</v>
      </c>
      <c r="P300" s="618">
        <v>0</v>
      </c>
      <c r="Q300" s="618">
        <v>0</v>
      </c>
      <c r="R300" s="618">
        <v>0</v>
      </c>
      <c r="S300" s="618">
        <v>400</v>
      </c>
      <c r="T300" s="618">
        <v>0</v>
      </c>
      <c r="U300" s="618">
        <v>0</v>
      </c>
      <c r="V300" s="618">
        <v>0</v>
      </c>
      <c r="W300" s="616">
        <f t="shared" si="146"/>
        <v>1200</v>
      </c>
      <c r="Y300" s="287"/>
      <c r="Z300" s="287"/>
    </row>
    <row r="301" spans="3:26" s="63" customFormat="1" ht="12" outlineLevel="1" x14ac:dyDescent="0.2">
      <c r="C301" s="64"/>
      <c r="D301" s="680" t="s">
        <v>268</v>
      </c>
      <c r="E301" s="681" t="s">
        <v>796</v>
      </c>
      <c r="F301" s="682">
        <v>3</v>
      </c>
      <c r="G301" s="650">
        <v>400</v>
      </c>
      <c r="H301" s="616">
        <f t="shared" si="147"/>
        <v>0</v>
      </c>
      <c r="J301" s="617" t="s">
        <v>569</v>
      </c>
      <c r="K301" s="618">
        <v>0</v>
      </c>
      <c r="L301" s="618">
        <v>0</v>
      </c>
      <c r="M301" s="618">
        <v>0</v>
      </c>
      <c r="N301" s="618">
        <v>0</v>
      </c>
      <c r="O301" s="618">
        <v>0</v>
      </c>
      <c r="P301" s="618">
        <v>0</v>
      </c>
      <c r="Q301" s="618">
        <v>0</v>
      </c>
      <c r="R301" s="618">
        <v>0</v>
      </c>
      <c r="S301" s="618">
        <v>0</v>
      </c>
      <c r="T301" s="618">
        <v>0</v>
      </c>
      <c r="U301" s="618">
        <v>0</v>
      </c>
      <c r="V301" s="618">
        <v>0</v>
      </c>
      <c r="W301" s="616">
        <f t="shared" si="146"/>
        <v>0</v>
      </c>
      <c r="Y301" s="287"/>
      <c r="Z301" s="287"/>
    </row>
    <row r="302" spans="3:26" s="63" customFormat="1" ht="12" outlineLevel="1" x14ac:dyDescent="0.2">
      <c r="C302" s="64"/>
      <c r="D302" s="566" t="s">
        <v>258</v>
      </c>
      <c r="E302" s="567"/>
      <c r="F302" s="568">
        <v>0</v>
      </c>
      <c r="G302" s="618">
        <v>0</v>
      </c>
      <c r="H302" s="616">
        <f t="shared" si="147"/>
        <v>0</v>
      </c>
      <c r="J302" s="617" t="s">
        <v>569</v>
      </c>
      <c r="K302" s="618">
        <v>0</v>
      </c>
      <c r="L302" s="618">
        <v>0</v>
      </c>
      <c r="M302" s="618">
        <v>0</v>
      </c>
      <c r="N302" s="618">
        <v>0</v>
      </c>
      <c r="O302" s="618">
        <v>0</v>
      </c>
      <c r="P302" s="618">
        <v>0</v>
      </c>
      <c r="Q302" s="618">
        <v>0</v>
      </c>
      <c r="R302" s="618">
        <v>0</v>
      </c>
      <c r="S302" s="618">
        <v>0</v>
      </c>
      <c r="T302" s="618">
        <v>0</v>
      </c>
      <c r="U302" s="618">
        <v>0</v>
      </c>
      <c r="V302" s="618">
        <v>0</v>
      </c>
      <c r="W302" s="616">
        <f t="shared" si="146"/>
        <v>0</v>
      </c>
      <c r="Y302" s="287"/>
      <c r="Z302" s="287"/>
    </row>
    <row r="303" spans="3:26" s="63" customFormat="1" ht="3.6" customHeight="1" outlineLevel="1" thickBot="1" x14ac:dyDescent="0.25">
      <c r="C303" s="64"/>
      <c r="D303" s="294"/>
      <c r="E303" s="299"/>
      <c r="F303" s="281"/>
      <c r="G303" s="563"/>
      <c r="H303" s="616">
        <f t="shared" si="147"/>
        <v>0</v>
      </c>
      <c r="J303" s="619"/>
      <c r="K303" s="563"/>
      <c r="L303" s="563"/>
      <c r="M303" s="563"/>
      <c r="N303" s="563"/>
      <c r="O303" s="563"/>
      <c r="P303" s="563"/>
      <c r="Q303" s="563"/>
      <c r="R303" s="563"/>
      <c r="S303" s="563"/>
      <c r="T303" s="563"/>
      <c r="U303" s="563"/>
      <c r="V303" s="563"/>
      <c r="W303" s="556"/>
      <c r="Y303" s="287"/>
      <c r="Z303" s="287"/>
    </row>
    <row r="304" spans="3:26" s="63" customFormat="1" ht="12.75" thickBot="1" x14ac:dyDescent="0.25">
      <c r="C304" s="64"/>
      <c r="D304" s="292"/>
      <c r="E304" s="298"/>
      <c r="F304" s="282" t="str">
        <f>E284</f>
        <v>Travel</v>
      </c>
      <c r="G304" s="564">
        <f>C284</f>
        <v>6580</v>
      </c>
      <c r="H304" s="557">
        <f>SUBTOTAL(9,H285:H303)</f>
        <v>19555</v>
      </c>
      <c r="J304" s="624"/>
      <c r="K304" s="622">
        <f>SUBTOTAL(9,K285:K303)</f>
        <v>1200</v>
      </c>
      <c r="L304" s="622">
        <f t="shared" ref="L304:V304" si="149">SUBTOTAL(9,L285:L303)</f>
        <v>2000</v>
      </c>
      <c r="M304" s="622">
        <f t="shared" si="149"/>
        <v>1200</v>
      </c>
      <c r="N304" s="622">
        <f t="shared" si="149"/>
        <v>1200</v>
      </c>
      <c r="O304" s="622">
        <f t="shared" si="149"/>
        <v>5700</v>
      </c>
      <c r="P304" s="622">
        <f t="shared" si="149"/>
        <v>1855</v>
      </c>
      <c r="Q304" s="622">
        <f t="shared" si="149"/>
        <v>400</v>
      </c>
      <c r="R304" s="622">
        <f t="shared" si="149"/>
        <v>1200</v>
      </c>
      <c r="S304" s="622">
        <f t="shared" si="149"/>
        <v>2000</v>
      </c>
      <c r="T304" s="622">
        <f t="shared" si="149"/>
        <v>2000</v>
      </c>
      <c r="U304" s="622">
        <f t="shared" si="149"/>
        <v>400</v>
      </c>
      <c r="V304" s="622">
        <f t="shared" si="149"/>
        <v>400</v>
      </c>
      <c r="W304" s="557">
        <f>SUBTOTAL(9,W285:W303)</f>
        <v>19555</v>
      </c>
      <c r="X304" s="63" t="str">
        <f>IF(H304=W304,"OK","Error")</f>
        <v>OK</v>
      </c>
      <c r="Y304" s="287">
        <v>0</v>
      </c>
      <c r="Z304" s="287">
        <f>H304-Y304</f>
        <v>19555</v>
      </c>
    </row>
    <row r="305" spans="3:26" s="63" customFormat="1" ht="12" x14ac:dyDescent="0.2">
      <c r="C305" s="64"/>
      <c r="D305" s="292"/>
      <c r="E305" s="298"/>
      <c r="F305" s="279"/>
      <c r="G305" s="561"/>
      <c r="H305" s="553"/>
      <c r="J305" s="613"/>
      <c r="K305" s="561"/>
      <c r="L305" s="561"/>
      <c r="M305" s="561"/>
      <c r="N305" s="561"/>
      <c r="O305" s="561"/>
      <c r="P305" s="561"/>
      <c r="Q305" s="561"/>
      <c r="R305" s="561"/>
      <c r="S305" s="561"/>
      <c r="T305" s="561"/>
      <c r="U305" s="561"/>
      <c r="V305" s="561"/>
      <c r="W305" s="553"/>
      <c r="Y305" s="287"/>
      <c r="Z305" s="287"/>
    </row>
    <row r="306" spans="3:26" s="63" customFormat="1" ht="12" x14ac:dyDescent="0.2">
      <c r="C306" s="66" t="s">
        <v>102</v>
      </c>
      <c r="D306" s="292"/>
      <c r="E306" s="298"/>
      <c r="F306" s="279"/>
      <c r="G306" s="561"/>
      <c r="H306" s="553"/>
      <c r="J306" s="613"/>
      <c r="K306" s="561"/>
      <c r="L306" s="561"/>
      <c r="M306" s="561"/>
      <c r="N306" s="561"/>
      <c r="O306" s="561"/>
      <c r="P306" s="561"/>
      <c r="Q306" s="561"/>
      <c r="R306" s="561"/>
      <c r="S306" s="561"/>
      <c r="T306" s="561"/>
      <c r="U306" s="561"/>
      <c r="V306" s="561"/>
      <c r="W306" s="553"/>
      <c r="Y306" s="287"/>
      <c r="Z306" s="287"/>
    </row>
    <row r="307" spans="3:26" s="63" customFormat="1" ht="12" outlineLevel="1" x14ac:dyDescent="0.2">
      <c r="C307" s="670">
        <v>6610</v>
      </c>
      <c r="D307" s="292"/>
      <c r="E307" s="298" t="s">
        <v>34</v>
      </c>
      <c r="F307" s="279"/>
      <c r="G307" s="561"/>
      <c r="H307" s="553"/>
      <c r="J307" s="613"/>
      <c r="K307" s="561"/>
      <c r="L307" s="561"/>
      <c r="M307" s="561"/>
      <c r="N307" s="561"/>
      <c r="O307" s="561"/>
      <c r="P307" s="561"/>
      <c r="Q307" s="561"/>
      <c r="R307" s="561"/>
      <c r="S307" s="561"/>
      <c r="T307" s="561"/>
      <c r="U307" s="561"/>
      <c r="V307" s="561"/>
      <c r="W307" s="553"/>
      <c r="Y307" s="287"/>
      <c r="Z307" s="287"/>
    </row>
    <row r="308" spans="3:26" s="63" customFormat="1" ht="12" outlineLevel="1" x14ac:dyDescent="0.2">
      <c r="C308" s="64"/>
      <c r="D308" s="566" t="s">
        <v>265</v>
      </c>
      <c r="E308" s="567" t="s">
        <v>754</v>
      </c>
      <c r="F308" s="568">
        <v>9</v>
      </c>
      <c r="G308" s="618">
        <v>80</v>
      </c>
      <c r="H308" s="616">
        <f t="shared" ref="H308:H318" si="150">IF(J308="NO", F308*G308,SUM(J308:V308))</f>
        <v>280</v>
      </c>
      <c r="J308" s="617" t="s">
        <v>569</v>
      </c>
      <c r="K308" s="618">
        <v>0</v>
      </c>
      <c r="L308" s="618">
        <v>0</v>
      </c>
      <c r="M308" s="618">
        <v>0</v>
      </c>
      <c r="N308" s="618">
        <v>140</v>
      </c>
      <c r="O308" s="618">
        <v>0</v>
      </c>
      <c r="P308" s="618">
        <v>140</v>
      </c>
      <c r="Q308" s="618">
        <v>0</v>
      </c>
      <c r="R308" s="618">
        <v>0</v>
      </c>
      <c r="S308" s="618">
        <v>0</v>
      </c>
      <c r="T308" s="618">
        <v>0</v>
      </c>
      <c r="U308" s="618">
        <v>0</v>
      </c>
      <c r="V308" s="618">
        <v>0</v>
      </c>
      <c r="W308" s="616">
        <f t="shared" ref="W308:W318" si="151">SUM(K308:V308)</f>
        <v>280</v>
      </c>
      <c r="Y308" s="287"/>
      <c r="Z308" s="287"/>
    </row>
    <row r="309" spans="3:26" s="63" customFormat="1" ht="12" outlineLevel="1" x14ac:dyDescent="0.2">
      <c r="C309" s="64"/>
      <c r="D309" s="566" t="s">
        <v>266</v>
      </c>
      <c r="E309" s="567" t="s">
        <v>755</v>
      </c>
      <c r="F309" s="568">
        <v>12</v>
      </c>
      <c r="G309" s="618">
        <v>200</v>
      </c>
      <c r="H309" s="616">
        <f t="shared" si="150"/>
        <v>2400</v>
      </c>
      <c r="J309" s="617" t="s">
        <v>569</v>
      </c>
      <c r="K309" s="618">
        <v>200</v>
      </c>
      <c r="L309" s="618">
        <v>200</v>
      </c>
      <c r="M309" s="618">
        <v>200</v>
      </c>
      <c r="N309" s="618">
        <v>200</v>
      </c>
      <c r="O309" s="618">
        <v>200</v>
      </c>
      <c r="P309" s="618">
        <v>200</v>
      </c>
      <c r="Q309" s="618">
        <v>200</v>
      </c>
      <c r="R309" s="618">
        <v>200</v>
      </c>
      <c r="S309" s="618">
        <v>200</v>
      </c>
      <c r="T309" s="618">
        <v>200</v>
      </c>
      <c r="U309" s="618">
        <v>200</v>
      </c>
      <c r="V309" s="618">
        <v>200</v>
      </c>
      <c r="W309" s="616">
        <f t="shared" si="151"/>
        <v>2400</v>
      </c>
      <c r="Y309" s="287"/>
      <c r="Z309" s="287"/>
    </row>
    <row r="310" spans="3:26" s="63" customFormat="1" ht="12" outlineLevel="1" x14ac:dyDescent="0.2">
      <c r="C310" s="64"/>
      <c r="D310" s="566" t="s">
        <v>267</v>
      </c>
      <c r="E310" s="567" t="s">
        <v>794</v>
      </c>
      <c r="F310" s="568">
        <v>12</v>
      </c>
      <c r="G310" s="618">
        <v>50</v>
      </c>
      <c r="H310" s="616">
        <f t="shared" si="150"/>
        <v>600</v>
      </c>
      <c r="J310" s="617" t="s">
        <v>569</v>
      </c>
      <c r="K310" s="618">
        <v>50</v>
      </c>
      <c r="L310" s="618">
        <v>50</v>
      </c>
      <c r="M310" s="618">
        <v>50</v>
      </c>
      <c r="N310" s="618">
        <v>50</v>
      </c>
      <c r="O310" s="618">
        <v>50</v>
      </c>
      <c r="P310" s="618">
        <v>50</v>
      </c>
      <c r="Q310" s="618">
        <v>50</v>
      </c>
      <c r="R310" s="618">
        <v>50</v>
      </c>
      <c r="S310" s="618">
        <v>50</v>
      </c>
      <c r="T310" s="618">
        <v>50</v>
      </c>
      <c r="U310" s="618">
        <v>50</v>
      </c>
      <c r="V310" s="618">
        <v>50</v>
      </c>
      <c r="W310" s="616">
        <f t="shared" si="151"/>
        <v>600</v>
      </c>
      <c r="Y310" s="287"/>
      <c r="Z310" s="287"/>
    </row>
    <row r="311" spans="3:26" s="63" customFormat="1" ht="12" outlineLevel="1" x14ac:dyDescent="0.2">
      <c r="C311" s="64"/>
      <c r="D311" s="566" t="s">
        <v>267</v>
      </c>
      <c r="E311" s="567" t="s">
        <v>756</v>
      </c>
      <c r="F311" s="568">
        <v>12</v>
      </c>
      <c r="G311" s="618">
        <v>300</v>
      </c>
      <c r="H311" s="616">
        <f t="shared" si="150"/>
        <v>3600</v>
      </c>
      <c r="J311" s="617" t="s">
        <v>569</v>
      </c>
      <c r="K311" s="618">
        <v>300</v>
      </c>
      <c r="L311" s="618">
        <v>300</v>
      </c>
      <c r="M311" s="618">
        <v>300</v>
      </c>
      <c r="N311" s="618">
        <v>300</v>
      </c>
      <c r="O311" s="618">
        <v>300</v>
      </c>
      <c r="P311" s="618">
        <v>300</v>
      </c>
      <c r="Q311" s="618">
        <v>300</v>
      </c>
      <c r="R311" s="618">
        <v>300</v>
      </c>
      <c r="S311" s="618">
        <v>300</v>
      </c>
      <c r="T311" s="618">
        <v>300</v>
      </c>
      <c r="U311" s="618">
        <v>300</v>
      </c>
      <c r="V311" s="618">
        <v>300</v>
      </c>
      <c r="W311" s="616">
        <f t="shared" si="151"/>
        <v>3600</v>
      </c>
      <c r="Y311" s="287"/>
      <c r="Z311" s="287"/>
    </row>
    <row r="312" spans="3:26" s="63" customFormat="1" ht="12" outlineLevel="1" x14ac:dyDescent="0.2">
      <c r="C312" s="64"/>
      <c r="D312" s="566" t="s">
        <v>268</v>
      </c>
      <c r="E312" s="567" t="s">
        <v>757</v>
      </c>
      <c r="F312" s="568">
        <v>12</v>
      </c>
      <c r="G312" s="618">
        <v>100</v>
      </c>
      <c r="H312" s="616">
        <f t="shared" si="150"/>
        <v>1200</v>
      </c>
      <c r="J312" s="617" t="s">
        <v>569</v>
      </c>
      <c r="K312" s="618">
        <v>100</v>
      </c>
      <c r="L312" s="618">
        <v>100</v>
      </c>
      <c r="M312" s="618">
        <v>100</v>
      </c>
      <c r="N312" s="618">
        <v>100</v>
      </c>
      <c r="O312" s="618">
        <v>100</v>
      </c>
      <c r="P312" s="618">
        <v>100</v>
      </c>
      <c r="Q312" s="618">
        <v>100</v>
      </c>
      <c r="R312" s="618">
        <v>100</v>
      </c>
      <c r="S312" s="618">
        <v>100</v>
      </c>
      <c r="T312" s="618">
        <v>100</v>
      </c>
      <c r="U312" s="618">
        <v>100</v>
      </c>
      <c r="V312" s="618">
        <v>100</v>
      </c>
      <c r="W312" s="616">
        <f t="shared" si="151"/>
        <v>1200</v>
      </c>
      <c r="Y312" s="287"/>
      <c r="Z312" s="287"/>
    </row>
    <row r="313" spans="3:26" s="63" customFormat="1" ht="12" outlineLevel="1" x14ac:dyDescent="0.2">
      <c r="C313" s="64"/>
      <c r="D313" s="566" t="s">
        <v>268</v>
      </c>
      <c r="E313" s="567" t="s">
        <v>758</v>
      </c>
      <c r="F313" s="568">
        <v>12</v>
      </c>
      <c r="G313" s="618">
        <v>100</v>
      </c>
      <c r="H313" s="616">
        <f t="shared" si="150"/>
        <v>1200</v>
      </c>
      <c r="J313" s="617" t="s">
        <v>569</v>
      </c>
      <c r="K313" s="618">
        <v>100</v>
      </c>
      <c r="L313" s="618">
        <v>100</v>
      </c>
      <c r="M313" s="618">
        <v>100</v>
      </c>
      <c r="N313" s="618">
        <v>100</v>
      </c>
      <c r="O313" s="618">
        <v>100</v>
      </c>
      <c r="P313" s="618">
        <v>100</v>
      </c>
      <c r="Q313" s="618">
        <v>100</v>
      </c>
      <c r="R313" s="618">
        <v>100</v>
      </c>
      <c r="S313" s="618">
        <v>100</v>
      </c>
      <c r="T313" s="618">
        <v>100</v>
      </c>
      <c r="U313" s="618">
        <v>100</v>
      </c>
      <c r="V313" s="618">
        <v>100</v>
      </c>
      <c r="W313" s="616">
        <f t="shared" si="151"/>
        <v>1200</v>
      </c>
      <c r="Y313" s="287"/>
      <c r="Z313" s="287"/>
    </row>
    <row r="314" spans="3:26" s="63" customFormat="1" ht="12" outlineLevel="1" x14ac:dyDescent="0.2">
      <c r="C314" s="64"/>
      <c r="D314" s="566" t="s">
        <v>268</v>
      </c>
      <c r="E314" s="567" t="s">
        <v>759</v>
      </c>
      <c r="F314" s="568">
        <v>12</v>
      </c>
      <c r="G314" s="618">
        <v>100</v>
      </c>
      <c r="H314" s="616">
        <f t="shared" si="150"/>
        <v>1200</v>
      </c>
      <c r="J314" s="617" t="s">
        <v>569</v>
      </c>
      <c r="K314" s="618">
        <v>100</v>
      </c>
      <c r="L314" s="618">
        <v>100</v>
      </c>
      <c r="M314" s="618">
        <v>100</v>
      </c>
      <c r="N314" s="618">
        <v>100</v>
      </c>
      <c r="O314" s="618">
        <v>100</v>
      </c>
      <c r="P314" s="618">
        <v>100</v>
      </c>
      <c r="Q314" s="618">
        <v>100</v>
      </c>
      <c r="R314" s="618">
        <v>100</v>
      </c>
      <c r="S314" s="618">
        <v>100</v>
      </c>
      <c r="T314" s="618">
        <v>100</v>
      </c>
      <c r="U314" s="618">
        <v>100</v>
      </c>
      <c r="V314" s="618">
        <v>100</v>
      </c>
      <c r="W314" s="616">
        <f t="shared" si="151"/>
        <v>1200</v>
      </c>
      <c r="Y314" s="287"/>
      <c r="Z314" s="287"/>
    </row>
    <row r="315" spans="3:26" s="63" customFormat="1" ht="12" outlineLevel="1" x14ac:dyDescent="0.2">
      <c r="C315" s="64"/>
      <c r="D315" s="566" t="s">
        <v>268</v>
      </c>
      <c r="E315" s="679" t="s">
        <v>787</v>
      </c>
      <c r="F315" s="568">
        <v>3000</v>
      </c>
      <c r="G315" s="674">
        <v>0.15</v>
      </c>
      <c r="H315" s="616">
        <f>IF(J315="NO", F315*G315,SUM(J315:V315))</f>
        <v>450</v>
      </c>
      <c r="J315" s="617" t="s">
        <v>569</v>
      </c>
      <c r="K315" s="618">
        <v>0</v>
      </c>
      <c r="L315" s="618">
        <v>0</v>
      </c>
      <c r="M315" s="618">
        <v>0</v>
      </c>
      <c r="N315" s="618">
        <v>0</v>
      </c>
      <c r="O315" s="618">
        <v>0</v>
      </c>
      <c r="P315" s="618">
        <v>0</v>
      </c>
      <c r="Q315" s="618">
        <v>0</v>
      </c>
      <c r="R315" s="618">
        <v>0</v>
      </c>
      <c r="S315" s="618">
        <v>0</v>
      </c>
      <c r="T315" s="618">
        <v>0</v>
      </c>
      <c r="U315" s="618">
        <v>450</v>
      </c>
      <c r="V315" s="618">
        <v>0</v>
      </c>
      <c r="W315" s="616">
        <f>SUM(K315:V315)</f>
        <v>450</v>
      </c>
      <c r="Y315" s="287"/>
      <c r="Z315" s="287"/>
    </row>
    <row r="316" spans="3:26" s="63" customFormat="1" ht="12" outlineLevel="1" x14ac:dyDescent="0.2">
      <c r="C316" s="64"/>
      <c r="D316" s="566" t="s">
        <v>266</v>
      </c>
      <c r="E316" s="567" t="s">
        <v>788</v>
      </c>
      <c r="F316" s="568">
        <v>20</v>
      </c>
      <c r="G316" s="618">
        <v>50</v>
      </c>
      <c r="H316" s="616">
        <f t="shared" si="150"/>
        <v>1000</v>
      </c>
      <c r="J316" s="617" t="s">
        <v>569</v>
      </c>
      <c r="K316" s="618">
        <v>0</v>
      </c>
      <c r="L316" s="618">
        <v>250</v>
      </c>
      <c r="M316" s="618">
        <v>0</v>
      </c>
      <c r="N316" s="618">
        <v>0</v>
      </c>
      <c r="O316" s="618">
        <v>250</v>
      </c>
      <c r="P316" s="618">
        <v>0</v>
      </c>
      <c r="Q316" s="618">
        <v>0</v>
      </c>
      <c r="R316" s="618">
        <v>250</v>
      </c>
      <c r="S316" s="618">
        <v>0</v>
      </c>
      <c r="T316" s="618">
        <v>0</v>
      </c>
      <c r="U316" s="618">
        <v>250</v>
      </c>
      <c r="V316" s="618">
        <v>0</v>
      </c>
      <c r="W316" s="616">
        <f t="shared" si="151"/>
        <v>1000</v>
      </c>
      <c r="Y316" s="287"/>
      <c r="Z316" s="287"/>
    </row>
    <row r="317" spans="3:26" s="63" customFormat="1" ht="12" outlineLevel="1" x14ac:dyDescent="0.2">
      <c r="C317" s="64"/>
      <c r="D317" s="566" t="s">
        <v>268</v>
      </c>
      <c r="E317" s="567" t="s">
        <v>789</v>
      </c>
      <c r="F317" s="568">
        <v>12</v>
      </c>
      <c r="G317" s="618">
        <v>100</v>
      </c>
      <c r="H317" s="616">
        <f t="shared" ref="H317" si="152">IF(J317="NO", F317*G317,SUM(J317:V317))</f>
        <v>1200</v>
      </c>
      <c r="J317" s="617" t="s">
        <v>569</v>
      </c>
      <c r="K317" s="618">
        <v>100</v>
      </c>
      <c r="L317" s="618">
        <v>100</v>
      </c>
      <c r="M317" s="618">
        <v>100</v>
      </c>
      <c r="N317" s="618">
        <v>100</v>
      </c>
      <c r="O317" s="618">
        <v>100</v>
      </c>
      <c r="P317" s="618">
        <v>100</v>
      </c>
      <c r="Q317" s="618">
        <v>100</v>
      </c>
      <c r="R317" s="618">
        <v>100</v>
      </c>
      <c r="S317" s="618">
        <v>100</v>
      </c>
      <c r="T317" s="618">
        <v>100</v>
      </c>
      <c r="U317" s="618">
        <v>100</v>
      </c>
      <c r="V317" s="618">
        <v>100</v>
      </c>
      <c r="W317" s="616">
        <f t="shared" ref="W317" si="153">SUM(K317:V317)</f>
        <v>1200</v>
      </c>
      <c r="Y317" s="287"/>
      <c r="Z317" s="287"/>
    </row>
    <row r="318" spans="3:26" s="63" customFormat="1" ht="12" outlineLevel="1" x14ac:dyDescent="0.2">
      <c r="C318" s="64"/>
      <c r="D318" s="566" t="s">
        <v>258</v>
      </c>
      <c r="E318" s="567"/>
      <c r="F318" s="568">
        <v>0</v>
      </c>
      <c r="G318" s="618">
        <v>0</v>
      </c>
      <c r="H318" s="616">
        <f t="shared" si="150"/>
        <v>0</v>
      </c>
      <c r="J318" s="617" t="s">
        <v>569</v>
      </c>
      <c r="K318" s="618">
        <v>0</v>
      </c>
      <c r="L318" s="618">
        <v>0</v>
      </c>
      <c r="M318" s="618">
        <v>0</v>
      </c>
      <c r="N318" s="618">
        <v>0</v>
      </c>
      <c r="O318" s="618">
        <v>0</v>
      </c>
      <c r="P318" s="618">
        <v>0</v>
      </c>
      <c r="Q318" s="618">
        <v>0</v>
      </c>
      <c r="R318" s="618">
        <v>0</v>
      </c>
      <c r="S318" s="618">
        <v>0</v>
      </c>
      <c r="T318" s="618">
        <v>0</v>
      </c>
      <c r="U318" s="618">
        <v>0</v>
      </c>
      <c r="V318" s="618">
        <v>0</v>
      </c>
      <c r="W318" s="616">
        <f t="shared" si="151"/>
        <v>0</v>
      </c>
      <c r="Y318" s="287"/>
      <c r="Z318" s="287"/>
    </row>
    <row r="319" spans="3:26" s="63" customFormat="1" ht="3.6" customHeight="1" outlineLevel="1" thickBot="1" x14ac:dyDescent="0.25">
      <c r="C319" s="64"/>
      <c r="D319" s="294"/>
      <c r="E319" s="299"/>
      <c r="F319" s="281"/>
      <c r="G319" s="563"/>
      <c r="H319" s="556"/>
      <c r="J319" s="619"/>
      <c r="K319" s="563"/>
      <c r="L319" s="563"/>
      <c r="M319" s="563"/>
      <c r="N319" s="563"/>
      <c r="O319" s="563"/>
      <c r="P319" s="563"/>
      <c r="Q319" s="563"/>
      <c r="R319" s="563"/>
      <c r="S319" s="563"/>
      <c r="T319" s="563"/>
      <c r="U319" s="563"/>
      <c r="V319" s="563"/>
      <c r="W319" s="556"/>
      <c r="Y319" s="287"/>
      <c r="Z319" s="287"/>
    </row>
    <row r="320" spans="3:26" s="63" customFormat="1" ht="12.75" thickBot="1" x14ac:dyDescent="0.25">
      <c r="C320" s="64"/>
      <c r="D320" s="292"/>
      <c r="E320" s="298"/>
      <c r="F320" s="282" t="str">
        <f>E307</f>
        <v>General Supplies</v>
      </c>
      <c r="G320" s="564">
        <f>C307</f>
        <v>6610</v>
      </c>
      <c r="H320" s="557">
        <f>SUBTOTAL(9,H308:H319)</f>
        <v>13130</v>
      </c>
      <c r="J320" s="624"/>
      <c r="K320" s="622">
        <f t="shared" ref="K320:W320" si="154">SUBTOTAL(9,K308:K319)</f>
        <v>950</v>
      </c>
      <c r="L320" s="622">
        <f t="shared" si="154"/>
        <v>1200</v>
      </c>
      <c r="M320" s="622">
        <f t="shared" si="154"/>
        <v>950</v>
      </c>
      <c r="N320" s="622">
        <f t="shared" si="154"/>
        <v>1090</v>
      </c>
      <c r="O320" s="622">
        <f t="shared" si="154"/>
        <v>1200</v>
      </c>
      <c r="P320" s="622">
        <f t="shared" si="154"/>
        <v>1090</v>
      </c>
      <c r="Q320" s="622">
        <f t="shared" si="154"/>
        <v>950</v>
      </c>
      <c r="R320" s="622">
        <f t="shared" si="154"/>
        <v>1200</v>
      </c>
      <c r="S320" s="622">
        <f t="shared" si="154"/>
        <v>950</v>
      </c>
      <c r="T320" s="622">
        <f t="shared" si="154"/>
        <v>950</v>
      </c>
      <c r="U320" s="622">
        <f t="shared" si="154"/>
        <v>1650</v>
      </c>
      <c r="V320" s="622">
        <f t="shared" si="154"/>
        <v>950</v>
      </c>
      <c r="W320" s="557">
        <f t="shared" si="154"/>
        <v>13130</v>
      </c>
      <c r="X320" s="63" t="str">
        <f>IF(H320=W320,"OK","Error")</f>
        <v>OK</v>
      </c>
      <c r="Y320" s="287">
        <v>0</v>
      </c>
      <c r="Z320" s="287">
        <f>H320-Y320</f>
        <v>13130</v>
      </c>
    </row>
    <row r="321" spans="3:26" s="63" customFormat="1" ht="12" outlineLevel="1" x14ac:dyDescent="0.2">
      <c r="C321" s="64"/>
      <c r="D321" s="292"/>
      <c r="E321" s="298"/>
      <c r="F321" s="279"/>
      <c r="G321" s="561"/>
      <c r="H321" s="553"/>
      <c r="J321" s="613"/>
      <c r="K321" s="561"/>
      <c r="L321" s="561"/>
      <c r="M321" s="561"/>
      <c r="N321" s="561"/>
      <c r="O321" s="561"/>
      <c r="P321" s="561"/>
      <c r="Q321" s="561"/>
      <c r="R321" s="561"/>
      <c r="S321" s="561"/>
      <c r="T321" s="561"/>
      <c r="U321" s="561"/>
      <c r="V321" s="561"/>
      <c r="W321" s="553"/>
      <c r="Y321" s="287"/>
      <c r="Z321" s="287"/>
    </row>
    <row r="322" spans="3:26" s="63" customFormat="1" ht="12" outlineLevel="1" x14ac:dyDescent="0.2">
      <c r="C322" s="670">
        <v>6612</v>
      </c>
      <c r="D322" s="292"/>
      <c r="E322" s="298" t="s">
        <v>35</v>
      </c>
      <c r="F322" s="279"/>
      <c r="G322" s="561"/>
      <c r="H322" s="553"/>
      <c r="J322" s="613"/>
      <c r="K322" s="561"/>
      <c r="L322" s="561"/>
      <c r="M322" s="561"/>
      <c r="N322" s="561"/>
      <c r="O322" s="561"/>
      <c r="P322" s="561"/>
      <c r="Q322" s="561"/>
      <c r="R322" s="561"/>
      <c r="S322" s="561"/>
      <c r="T322" s="561"/>
      <c r="U322" s="561"/>
      <c r="V322" s="561"/>
      <c r="W322" s="553"/>
      <c r="Y322" s="287"/>
      <c r="Z322" s="287"/>
    </row>
    <row r="323" spans="3:26" s="63" customFormat="1" ht="12" outlineLevel="1" x14ac:dyDescent="0.2">
      <c r="C323" s="64"/>
      <c r="D323" s="566" t="s">
        <v>268</v>
      </c>
      <c r="E323" s="567" t="s">
        <v>760</v>
      </c>
      <c r="F323" s="568">
        <v>1</v>
      </c>
      <c r="G323" s="618">
        <v>1500</v>
      </c>
      <c r="H323" s="616">
        <f t="shared" ref="H323:H324" si="155">IF(J323="NO", F323*G323,SUM(J323:V323))</f>
        <v>1500</v>
      </c>
      <c r="J323" s="617" t="s">
        <v>569</v>
      </c>
      <c r="K323" s="618">
        <v>0</v>
      </c>
      <c r="L323" s="618">
        <v>0</v>
      </c>
      <c r="M323" s="618">
        <v>0</v>
      </c>
      <c r="N323" s="618">
        <v>0</v>
      </c>
      <c r="O323" s="618">
        <v>1500</v>
      </c>
      <c r="P323" s="618">
        <v>0</v>
      </c>
      <c r="Q323" s="618">
        <v>0</v>
      </c>
      <c r="R323" s="618">
        <v>0</v>
      </c>
      <c r="S323" s="618">
        <v>0</v>
      </c>
      <c r="T323" s="618">
        <v>0</v>
      </c>
      <c r="U323" s="618">
        <v>0</v>
      </c>
      <c r="V323" s="618">
        <v>0</v>
      </c>
      <c r="W323" s="616">
        <f t="shared" ref="W323:W324" si="156">SUM(K323:V323)</f>
        <v>1500</v>
      </c>
      <c r="Y323" s="287"/>
      <c r="Z323" s="287"/>
    </row>
    <row r="324" spans="3:26" s="63" customFormat="1" ht="12" outlineLevel="1" x14ac:dyDescent="0.2">
      <c r="C324" s="64"/>
      <c r="D324" s="566" t="s">
        <v>258</v>
      </c>
      <c r="E324" s="567"/>
      <c r="F324" s="568">
        <v>0</v>
      </c>
      <c r="G324" s="618">
        <v>0</v>
      </c>
      <c r="H324" s="616">
        <f t="shared" si="155"/>
        <v>0</v>
      </c>
      <c r="J324" s="617" t="s">
        <v>564</v>
      </c>
      <c r="K324" s="618">
        <v>0</v>
      </c>
      <c r="L324" s="618">
        <v>0</v>
      </c>
      <c r="M324" s="618">
        <v>0</v>
      </c>
      <c r="N324" s="618">
        <v>0</v>
      </c>
      <c r="O324" s="618">
        <v>0</v>
      </c>
      <c r="P324" s="618">
        <v>0</v>
      </c>
      <c r="Q324" s="618">
        <v>0</v>
      </c>
      <c r="R324" s="618">
        <v>0</v>
      </c>
      <c r="S324" s="618">
        <v>0</v>
      </c>
      <c r="T324" s="618">
        <v>0</v>
      </c>
      <c r="U324" s="618">
        <v>0</v>
      </c>
      <c r="V324" s="618">
        <v>0</v>
      </c>
      <c r="W324" s="616">
        <f t="shared" si="156"/>
        <v>0</v>
      </c>
      <c r="Y324" s="287"/>
      <c r="Z324" s="287"/>
    </row>
    <row r="325" spans="3:26" s="63" customFormat="1" ht="3.6" customHeight="1" outlineLevel="1" thickBot="1" x14ac:dyDescent="0.25">
      <c r="C325" s="64"/>
      <c r="D325" s="294"/>
      <c r="E325" s="299"/>
      <c r="F325" s="281"/>
      <c r="G325" s="563"/>
      <c r="H325" s="556"/>
      <c r="J325" s="619"/>
      <c r="K325" s="563"/>
      <c r="L325" s="563"/>
      <c r="M325" s="563"/>
      <c r="N325" s="563"/>
      <c r="O325" s="563"/>
      <c r="P325" s="563"/>
      <c r="Q325" s="563"/>
      <c r="R325" s="563"/>
      <c r="S325" s="563"/>
      <c r="T325" s="563"/>
      <c r="U325" s="563"/>
      <c r="V325" s="563"/>
      <c r="W325" s="556"/>
      <c r="Y325" s="287"/>
      <c r="Z325" s="287"/>
    </row>
    <row r="326" spans="3:26" s="63" customFormat="1" ht="12.75" thickBot="1" x14ac:dyDescent="0.25">
      <c r="C326" s="64"/>
      <c r="D326" s="292"/>
      <c r="E326" s="298"/>
      <c r="F326" s="282" t="str">
        <f>E322</f>
        <v>Technology Supplies and Equipment</v>
      </c>
      <c r="G326" s="564">
        <f>C322</f>
        <v>6612</v>
      </c>
      <c r="H326" s="557">
        <f>SUBTOTAL(9,H323:H325)</f>
        <v>1500</v>
      </c>
      <c r="J326" s="624"/>
      <c r="K326" s="622">
        <f t="shared" ref="K326:W326" si="157">SUBTOTAL(9,K323:K325)</f>
        <v>0</v>
      </c>
      <c r="L326" s="622">
        <f t="shared" si="157"/>
        <v>0</v>
      </c>
      <c r="M326" s="622">
        <f t="shared" si="157"/>
        <v>0</v>
      </c>
      <c r="N326" s="622">
        <f t="shared" si="157"/>
        <v>0</v>
      </c>
      <c r="O326" s="622">
        <f t="shared" si="157"/>
        <v>1500</v>
      </c>
      <c r="P326" s="622">
        <f t="shared" si="157"/>
        <v>0</v>
      </c>
      <c r="Q326" s="622">
        <f t="shared" si="157"/>
        <v>0</v>
      </c>
      <c r="R326" s="622">
        <f t="shared" si="157"/>
        <v>0</v>
      </c>
      <c r="S326" s="622">
        <f t="shared" si="157"/>
        <v>0</v>
      </c>
      <c r="T326" s="622">
        <f t="shared" si="157"/>
        <v>0</v>
      </c>
      <c r="U326" s="622">
        <f t="shared" si="157"/>
        <v>0</v>
      </c>
      <c r="V326" s="622">
        <f t="shared" si="157"/>
        <v>0</v>
      </c>
      <c r="W326" s="557">
        <f t="shared" si="157"/>
        <v>1500</v>
      </c>
      <c r="X326" s="63" t="str">
        <f>IF(H326=W326,"OK","Error")</f>
        <v>OK</v>
      </c>
      <c r="Y326" s="287">
        <v>0</v>
      </c>
      <c r="Z326" s="287">
        <f>H326-Y326</f>
        <v>1500</v>
      </c>
    </row>
    <row r="327" spans="3:26" s="63" customFormat="1" ht="12" outlineLevel="1" x14ac:dyDescent="0.2">
      <c r="C327" s="64"/>
      <c r="D327" s="292"/>
      <c r="E327" s="298"/>
      <c r="F327" s="279"/>
      <c r="G327" s="561"/>
      <c r="H327" s="553"/>
      <c r="J327" s="613"/>
      <c r="K327" s="561"/>
      <c r="L327" s="561"/>
      <c r="M327" s="561"/>
      <c r="N327" s="561"/>
      <c r="O327" s="561"/>
      <c r="P327" s="561"/>
      <c r="Q327" s="561"/>
      <c r="R327" s="561"/>
      <c r="S327" s="561"/>
      <c r="T327" s="561"/>
      <c r="U327" s="561"/>
      <c r="V327" s="561"/>
      <c r="W327" s="553"/>
      <c r="Y327" s="287"/>
      <c r="Z327" s="287"/>
    </row>
    <row r="328" spans="3:26" s="63" customFormat="1" ht="12" outlineLevel="1" x14ac:dyDescent="0.2">
      <c r="C328" s="670">
        <v>6622</v>
      </c>
      <c r="D328" s="292"/>
      <c r="E328" s="298" t="s">
        <v>36</v>
      </c>
      <c r="F328" s="279"/>
      <c r="G328" s="561"/>
      <c r="H328" s="553"/>
      <c r="J328" s="613"/>
      <c r="K328" s="561"/>
      <c r="L328" s="561"/>
      <c r="M328" s="561"/>
      <c r="N328" s="561"/>
      <c r="O328" s="561"/>
      <c r="P328" s="561"/>
      <c r="Q328" s="561"/>
      <c r="R328" s="561"/>
      <c r="S328" s="561"/>
      <c r="T328" s="561"/>
      <c r="U328" s="561"/>
      <c r="V328" s="561"/>
      <c r="W328" s="553"/>
      <c r="Y328" s="287"/>
      <c r="Z328" s="287"/>
    </row>
    <row r="329" spans="3:26" s="63" customFormat="1" ht="12" outlineLevel="1" x14ac:dyDescent="0.2">
      <c r="C329" s="64"/>
      <c r="D329" s="566" t="s">
        <v>258</v>
      </c>
      <c r="E329" s="567" t="s">
        <v>575</v>
      </c>
      <c r="F329" s="568">
        <v>0</v>
      </c>
      <c r="G329" s="618">
        <v>0</v>
      </c>
      <c r="H329" s="616">
        <f t="shared" ref="H329:H330" si="158">IF(J329="NO", F329*G329,SUM(J329:V329))</f>
        <v>0</v>
      </c>
      <c r="J329" s="617" t="s">
        <v>569</v>
      </c>
      <c r="K329" s="618">
        <v>0</v>
      </c>
      <c r="L329" s="618">
        <v>0</v>
      </c>
      <c r="M329" s="618">
        <v>0</v>
      </c>
      <c r="N329" s="618">
        <v>0</v>
      </c>
      <c r="O329" s="618">
        <v>0</v>
      </c>
      <c r="P329" s="618">
        <v>0</v>
      </c>
      <c r="Q329" s="618">
        <v>0</v>
      </c>
      <c r="R329" s="618">
        <v>0</v>
      </c>
      <c r="S329" s="618">
        <v>0</v>
      </c>
      <c r="T329" s="618">
        <v>0</v>
      </c>
      <c r="U329" s="618">
        <v>0</v>
      </c>
      <c r="V329" s="618">
        <v>0</v>
      </c>
      <c r="W329" s="616">
        <f t="shared" ref="W329:W330" si="159">SUM(K329:V329)</f>
        <v>0</v>
      </c>
      <c r="Y329" s="287"/>
      <c r="Z329" s="287"/>
    </row>
    <row r="330" spans="3:26" s="63" customFormat="1" ht="12" outlineLevel="1" x14ac:dyDescent="0.2">
      <c r="C330" s="64"/>
      <c r="D330" s="566" t="s">
        <v>258</v>
      </c>
      <c r="E330" s="567" t="s">
        <v>576</v>
      </c>
      <c r="F330" s="568">
        <v>0</v>
      </c>
      <c r="G330" s="618">
        <v>0</v>
      </c>
      <c r="H330" s="616">
        <f t="shared" si="158"/>
        <v>0</v>
      </c>
      <c r="J330" s="617" t="s">
        <v>569</v>
      </c>
      <c r="K330" s="618">
        <v>0</v>
      </c>
      <c r="L330" s="618">
        <v>0</v>
      </c>
      <c r="M330" s="618">
        <v>0</v>
      </c>
      <c r="N330" s="618">
        <v>0</v>
      </c>
      <c r="O330" s="618">
        <v>0</v>
      </c>
      <c r="P330" s="618">
        <v>0</v>
      </c>
      <c r="Q330" s="618">
        <v>0</v>
      </c>
      <c r="R330" s="618">
        <v>0</v>
      </c>
      <c r="S330" s="618">
        <v>0</v>
      </c>
      <c r="T330" s="618">
        <v>0</v>
      </c>
      <c r="U330" s="618">
        <v>0</v>
      </c>
      <c r="V330" s="618">
        <v>0</v>
      </c>
      <c r="W330" s="616">
        <f t="shared" si="159"/>
        <v>0</v>
      </c>
      <c r="Y330" s="287"/>
      <c r="Z330" s="287"/>
    </row>
    <row r="331" spans="3:26" s="63" customFormat="1" ht="3.6" customHeight="1" outlineLevel="1" thickBot="1" x14ac:dyDescent="0.25">
      <c r="C331" s="64"/>
      <c r="D331" s="294"/>
      <c r="E331" s="299"/>
      <c r="F331" s="281"/>
      <c r="G331" s="563"/>
      <c r="H331" s="556"/>
      <c r="J331" s="619"/>
      <c r="K331" s="563"/>
      <c r="L331" s="563"/>
      <c r="M331" s="563"/>
      <c r="N331" s="563"/>
      <c r="O331" s="563"/>
      <c r="P331" s="563"/>
      <c r="Q331" s="563"/>
      <c r="R331" s="563"/>
      <c r="S331" s="563"/>
      <c r="T331" s="563"/>
      <c r="U331" s="563"/>
      <c r="V331" s="563"/>
      <c r="W331" s="556"/>
      <c r="Y331" s="287"/>
      <c r="Z331" s="287"/>
    </row>
    <row r="332" spans="3:26" s="63" customFormat="1" ht="12.75" thickBot="1" x14ac:dyDescent="0.25">
      <c r="C332" s="64"/>
      <c r="D332" s="292"/>
      <c r="E332" s="298"/>
      <c r="F332" s="282" t="str">
        <f>E328</f>
        <v>Electricity</v>
      </c>
      <c r="G332" s="564">
        <f>C328</f>
        <v>6622</v>
      </c>
      <c r="H332" s="557">
        <f>SUBTOTAL(9,H329:H331)</f>
        <v>0</v>
      </c>
      <c r="J332" s="624"/>
      <c r="K332" s="622">
        <f>SUBTOTAL(9,K329:K331)</f>
        <v>0</v>
      </c>
      <c r="L332" s="622">
        <f t="shared" ref="L332:V332" si="160">SUBTOTAL(9,L329:L331)</f>
        <v>0</v>
      </c>
      <c r="M332" s="622">
        <f t="shared" si="160"/>
        <v>0</v>
      </c>
      <c r="N332" s="622">
        <f t="shared" si="160"/>
        <v>0</v>
      </c>
      <c r="O332" s="622">
        <f t="shared" si="160"/>
        <v>0</v>
      </c>
      <c r="P332" s="622">
        <f t="shared" si="160"/>
        <v>0</v>
      </c>
      <c r="Q332" s="622">
        <f t="shared" si="160"/>
        <v>0</v>
      </c>
      <c r="R332" s="622">
        <f t="shared" si="160"/>
        <v>0</v>
      </c>
      <c r="S332" s="622">
        <f t="shared" si="160"/>
        <v>0</v>
      </c>
      <c r="T332" s="622">
        <f t="shared" si="160"/>
        <v>0</v>
      </c>
      <c r="U332" s="622">
        <f t="shared" si="160"/>
        <v>0</v>
      </c>
      <c r="V332" s="622">
        <f t="shared" si="160"/>
        <v>0</v>
      </c>
      <c r="W332" s="557">
        <f>SUBTOTAL(9,W329:W331)</f>
        <v>0</v>
      </c>
      <c r="X332" s="63" t="str">
        <f>IF(H332=W332,"OK","Error")</f>
        <v>OK</v>
      </c>
      <c r="Y332" s="287">
        <v>0</v>
      </c>
      <c r="Z332" s="287">
        <f>H332-Y332</f>
        <v>0</v>
      </c>
    </row>
    <row r="333" spans="3:26" s="63" customFormat="1" ht="12" outlineLevel="1" x14ac:dyDescent="0.2">
      <c r="C333" s="670"/>
      <c r="D333" s="292"/>
      <c r="E333" s="298"/>
      <c r="F333" s="279"/>
      <c r="G333" s="561"/>
      <c r="H333" s="553"/>
      <c r="J333" s="613"/>
      <c r="K333" s="561"/>
      <c r="L333" s="561"/>
      <c r="M333" s="561"/>
      <c r="N333" s="561"/>
      <c r="O333" s="561"/>
      <c r="P333" s="561"/>
      <c r="Q333" s="561"/>
      <c r="R333" s="561"/>
      <c r="S333" s="561"/>
      <c r="T333" s="561"/>
      <c r="U333" s="561"/>
      <c r="V333" s="561"/>
      <c r="W333" s="553"/>
      <c r="Y333" s="287"/>
      <c r="Z333" s="287"/>
    </row>
    <row r="334" spans="3:26" s="63" customFormat="1" ht="12" outlineLevel="1" x14ac:dyDescent="0.2">
      <c r="C334" s="64">
        <v>6641</v>
      </c>
      <c r="D334" s="292"/>
      <c r="E334" s="298" t="s">
        <v>37</v>
      </c>
      <c r="F334" s="279"/>
      <c r="G334" s="561"/>
      <c r="H334" s="553"/>
      <c r="J334" s="613"/>
      <c r="K334" s="561"/>
      <c r="L334" s="561"/>
      <c r="M334" s="561"/>
      <c r="N334" s="561"/>
      <c r="O334" s="561"/>
      <c r="P334" s="561"/>
      <c r="Q334" s="561"/>
      <c r="R334" s="561"/>
      <c r="S334" s="561"/>
      <c r="T334" s="561"/>
      <c r="U334" s="561"/>
      <c r="V334" s="561"/>
      <c r="W334" s="553"/>
      <c r="Y334" s="287"/>
      <c r="Z334" s="287"/>
    </row>
    <row r="335" spans="3:26" s="63" customFormat="1" ht="12" outlineLevel="1" x14ac:dyDescent="0.2">
      <c r="C335" s="64"/>
      <c r="D335" s="596" t="s">
        <v>258</v>
      </c>
      <c r="E335" s="597"/>
      <c r="F335" s="595">
        <v>0</v>
      </c>
      <c r="G335" s="540">
        <v>0</v>
      </c>
      <c r="H335" s="616">
        <f t="shared" ref="H335:H337" si="161">IF(J335="NO", F335*G335,SUM(J335:V335))</f>
        <v>0</v>
      </c>
      <c r="J335" s="626" t="s">
        <v>569</v>
      </c>
      <c r="K335" s="627">
        <v>0</v>
      </c>
      <c r="L335" s="627">
        <v>0</v>
      </c>
      <c r="M335" s="627">
        <v>0</v>
      </c>
      <c r="N335" s="627">
        <v>0</v>
      </c>
      <c r="O335" s="627">
        <v>0</v>
      </c>
      <c r="P335" s="627">
        <v>0</v>
      </c>
      <c r="Q335" s="627">
        <v>0</v>
      </c>
      <c r="R335" s="627">
        <v>0</v>
      </c>
      <c r="S335" s="627">
        <v>0</v>
      </c>
      <c r="T335" s="627">
        <v>0</v>
      </c>
      <c r="U335" s="627">
        <v>0</v>
      </c>
      <c r="V335" s="627">
        <v>0</v>
      </c>
      <c r="W335" s="628">
        <f t="shared" ref="W335:W337" si="162">SUM(K335:V335)</f>
        <v>0</v>
      </c>
      <c r="Y335" s="287"/>
      <c r="Z335" s="287"/>
    </row>
    <row r="336" spans="3:26" s="63" customFormat="1" ht="12" outlineLevel="1" x14ac:dyDescent="0.2">
      <c r="C336" s="670"/>
      <c r="D336" s="596" t="s">
        <v>258</v>
      </c>
      <c r="E336" s="597"/>
      <c r="F336" s="595">
        <v>0</v>
      </c>
      <c r="G336" s="540">
        <v>0</v>
      </c>
      <c r="H336" s="616">
        <f t="shared" si="161"/>
        <v>0</v>
      </c>
      <c r="J336" s="626" t="s">
        <v>569</v>
      </c>
      <c r="K336" s="627">
        <v>0</v>
      </c>
      <c r="L336" s="627">
        <v>0</v>
      </c>
      <c r="M336" s="627">
        <v>0</v>
      </c>
      <c r="N336" s="627">
        <v>0</v>
      </c>
      <c r="O336" s="627">
        <v>0</v>
      </c>
      <c r="P336" s="627">
        <v>0</v>
      </c>
      <c r="Q336" s="627">
        <v>0</v>
      </c>
      <c r="R336" s="627">
        <v>0</v>
      </c>
      <c r="S336" s="627">
        <v>0</v>
      </c>
      <c r="T336" s="627">
        <v>0</v>
      </c>
      <c r="U336" s="627">
        <v>0</v>
      </c>
      <c r="V336" s="627">
        <v>0</v>
      </c>
      <c r="W336" s="628">
        <f t="shared" si="162"/>
        <v>0</v>
      </c>
      <c r="Y336" s="287"/>
      <c r="Z336" s="287"/>
    </row>
    <row r="337" spans="3:26" s="63" customFormat="1" ht="12" outlineLevel="1" x14ac:dyDescent="0.2">
      <c r="C337" s="64"/>
      <c r="D337" s="596" t="s">
        <v>258</v>
      </c>
      <c r="E337" s="597"/>
      <c r="F337" s="595">
        <v>0</v>
      </c>
      <c r="G337" s="540">
        <v>0</v>
      </c>
      <c r="H337" s="616">
        <f t="shared" si="161"/>
        <v>0</v>
      </c>
      <c r="J337" s="626" t="s">
        <v>569</v>
      </c>
      <c r="K337" s="627">
        <v>0</v>
      </c>
      <c r="L337" s="627">
        <v>0</v>
      </c>
      <c r="M337" s="627">
        <v>0</v>
      </c>
      <c r="N337" s="627">
        <v>0</v>
      </c>
      <c r="O337" s="627">
        <v>0</v>
      </c>
      <c r="P337" s="627">
        <v>0</v>
      </c>
      <c r="Q337" s="627">
        <v>0</v>
      </c>
      <c r="R337" s="627">
        <v>0</v>
      </c>
      <c r="S337" s="627">
        <v>0</v>
      </c>
      <c r="T337" s="627">
        <v>0</v>
      </c>
      <c r="U337" s="627">
        <v>0</v>
      </c>
      <c r="V337" s="627">
        <v>0</v>
      </c>
      <c r="W337" s="628">
        <f t="shared" si="162"/>
        <v>0</v>
      </c>
      <c r="Y337" s="287"/>
      <c r="Z337" s="287"/>
    </row>
    <row r="338" spans="3:26" s="63" customFormat="1" ht="3.6" customHeight="1" outlineLevel="1" thickBot="1" x14ac:dyDescent="0.25">
      <c r="C338" s="64"/>
      <c r="D338" s="294"/>
      <c r="E338" s="299"/>
      <c r="F338" s="281"/>
      <c r="G338" s="563"/>
      <c r="H338" s="556"/>
      <c r="J338" s="626" t="s">
        <v>569</v>
      </c>
      <c r="K338" s="630"/>
      <c r="L338" s="630"/>
      <c r="M338" s="630"/>
      <c r="N338" s="630"/>
      <c r="O338" s="630"/>
      <c r="P338" s="630"/>
      <c r="Q338" s="630"/>
      <c r="R338" s="630"/>
      <c r="S338" s="630"/>
      <c r="T338" s="630"/>
      <c r="U338" s="630"/>
      <c r="V338" s="630"/>
      <c r="W338" s="628"/>
      <c r="Y338" s="287"/>
      <c r="Z338" s="287"/>
    </row>
    <row r="339" spans="3:26" s="63" customFormat="1" ht="12.75" thickBot="1" x14ac:dyDescent="0.25">
      <c r="C339" s="64"/>
      <c r="D339" s="292"/>
      <c r="E339" s="298"/>
      <c r="F339" s="282" t="str">
        <f>E334</f>
        <v xml:space="preserve">Textbooks </v>
      </c>
      <c r="G339" s="564">
        <f>C334</f>
        <v>6641</v>
      </c>
      <c r="H339" s="557">
        <f>SUBTOTAL(9,H335:H338)</f>
        <v>0</v>
      </c>
      <c r="J339" s="624"/>
      <c r="K339" s="622">
        <f t="shared" ref="K339:W339" si="163">SUBTOTAL(9,K335:K338)</f>
        <v>0</v>
      </c>
      <c r="L339" s="622">
        <f t="shared" si="163"/>
        <v>0</v>
      </c>
      <c r="M339" s="622">
        <f t="shared" si="163"/>
        <v>0</v>
      </c>
      <c r="N339" s="622">
        <f t="shared" si="163"/>
        <v>0</v>
      </c>
      <c r="O339" s="622">
        <f t="shared" si="163"/>
        <v>0</v>
      </c>
      <c r="P339" s="622">
        <f t="shared" si="163"/>
        <v>0</v>
      </c>
      <c r="Q339" s="622">
        <f t="shared" si="163"/>
        <v>0</v>
      </c>
      <c r="R339" s="622">
        <f t="shared" si="163"/>
        <v>0</v>
      </c>
      <c r="S339" s="622">
        <f t="shared" si="163"/>
        <v>0</v>
      </c>
      <c r="T339" s="622">
        <f t="shared" si="163"/>
        <v>0</v>
      </c>
      <c r="U339" s="622">
        <f t="shared" si="163"/>
        <v>0</v>
      </c>
      <c r="V339" s="622">
        <f t="shared" si="163"/>
        <v>0</v>
      </c>
      <c r="W339" s="557">
        <f t="shared" si="163"/>
        <v>0</v>
      </c>
      <c r="X339" s="63" t="str">
        <f>IF(H339=W339,"OK","Error")</f>
        <v>OK</v>
      </c>
      <c r="Y339" s="287">
        <v>0</v>
      </c>
      <c r="Z339" s="287">
        <f>H339-Y339</f>
        <v>0</v>
      </c>
    </row>
    <row r="340" spans="3:26" s="63" customFormat="1" ht="12" outlineLevel="1" x14ac:dyDescent="0.2">
      <c r="C340" s="64"/>
      <c r="D340" s="292"/>
      <c r="E340" s="298"/>
      <c r="F340" s="279"/>
      <c r="G340" s="561"/>
      <c r="H340" s="553"/>
      <c r="J340" s="613"/>
      <c r="K340" s="561"/>
      <c r="L340" s="561"/>
      <c r="M340" s="561"/>
      <c r="N340" s="561"/>
      <c r="O340" s="561"/>
      <c r="P340" s="561"/>
      <c r="Q340" s="561"/>
      <c r="R340" s="561"/>
      <c r="S340" s="561"/>
      <c r="T340" s="561"/>
      <c r="U340" s="561"/>
      <c r="V340" s="561"/>
      <c r="W340" s="553"/>
      <c r="Y340" s="287"/>
      <c r="Z340" s="287"/>
    </row>
    <row r="341" spans="3:26" s="63" customFormat="1" ht="12" outlineLevel="1" x14ac:dyDescent="0.2">
      <c r="C341" s="670">
        <v>6642</v>
      </c>
      <c r="D341" s="292"/>
      <c r="E341" s="298" t="s">
        <v>38</v>
      </c>
      <c r="F341" s="279"/>
      <c r="G341" s="561"/>
      <c r="H341" s="553"/>
      <c r="J341" s="613"/>
      <c r="K341" s="561"/>
      <c r="L341" s="561"/>
      <c r="M341" s="561"/>
      <c r="N341" s="561"/>
      <c r="O341" s="561"/>
      <c r="P341" s="561"/>
      <c r="Q341" s="561"/>
      <c r="R341" s="561"/>
      <c r="S341" s="561"/>
      <c r="T341" s="561"/>
      <c r="U341" s="561"/>
      <c r="V341" s="561"/>
      <c r="W341" s="553"/>
      <c r="Y341" s="287"/>
      <c r="Z341" s="287"/>
    </row>
    <row r="342" spans="3:26" s="63" customFormat="1" ht="12" outlineLevel="1" x14ac:dyDescent="0.2">
      <c r="C342" s="64"/>
      <c r="D342" s="596" t="s">
        <v>258</v>
      </c>
      <c r="E342" s="597"/>
      <c r="F342" s="595">
        <v>0</v>
      </c>
      <c r="G342" s="540">
        <v>0</v>
      </c>
      <c r="H342" s="616">
        <f t="shared" ref="H342:H344" si="164">IF(J342="NO", F342*G342,SUM(J342:V342))</f>
        <v>0</v>
      </c>
      <c r="J342" s="626" t="s">
        <v>569</v>
      </c>
      <c r="K342" s="627">
        <v>0</v>
      </c>
      <c r="L342" s="627">
        <v>0</v>
      </c>
      <c r="M342" s="627">
        <v>0</v>
      </c>
      <c r="N342" s="627">
        <v>0</v>
      </c>
      <c r="O342" s="627">
        <v>0</v>
      </c>
      <c r="P342" s="627">
        <v>0</v>
      </c>
      <c r="Q342" s="627">
        <v>0</v>
      </c>
      <c r="R342" s="627">
        <v>0</v>
      </c>
      <c r="S342" s="627">
        <v>0</v>
      </c>
      <c r="T342" s="627">
        <v>0</v>
      </c>
      <c r="U342" s="627">
        <v>0</v>
      </c>
      <c r="V342" s="627">
        <v>0</v>
      </c>
      <c r="W342" s="628">
        <f t="shared" ref="W342:W344" si="165">SUM(K342:V342)</f>
        <v>0</v>
      </c>
      <c r="Y342" s="287"/>
      <c r="Z342" s="287"/>
    </row>
    <row r="343" spans="3:26" s="63" customFormat="1" ht="12" outlineLevel="1" x14ac:dyDescent="0.2">
      <c r="C343" s="64"/>
      <c r="D343" s="596" t="s">
        <v>258</v>
      </c>
      <c r="E343" s="597"/>
      <c r="F343" s="595">
        <v>0</v>
      </c>
      <c r="G343" s="540">
        <v>0</v>
      </c>
      <c r="H343" s="616">
        <f t="shared" si="164"/>
        <v>0</v>
      </c>
      <c r="J343" s="626" t="s">
        <v>569</v>
      </c>
      <c r="K343" s="627">
        <v>0</v>
      </c>
      <c r="L343" s="627">
        <v>0</v>
      </c>
      <c r="M343" s="627">
        <v>0</v>
      </c>
      <c r="N343" s="627">
        <v>0</v>
      </c>
      <c r="O343" s="627">
        <v>0</v>
      </c>
      <c r="P343" s="627">
        <v>0</v>
      </c>
      <c r="Q343" s="627">
        <v>0</v>
      </c>
      <c r="R343" s="627">
        <v>0</v>
      </c>
      <c r="S343" s="627">
        <v>0</v>
      </c>
      <c r="T343" s="627">
        <v>0</v>
      </c>
      <c r="U343" s="627">
        <v>0</v>
      </c>
      <c r="V343" s="627">
        <v>0</v>
      </c>
      <c r="W343" s="628">
        <f t="shared" si="165"/>
        <v>0</v>
      </c>
      <c r="Y343" s="287"/>
      <c r="Z343" s="287"/>
    </row>
    <row r="344" spans="3:26" s="63" customFormat="1" ht="12" outlineLevel="1" x14ac:dyDescent="0.2">
      <c r="C344" s="64"/>
      <c r="D344" s="596" t="s">
        <v>258</v>
      </c>
      <c r="E344" s="597"/>
      <c r="F344" s="595">
        <v>0</v>
      </c>
      <c r="G344" s="540">
        <v>0</v>
      </c>
      <c r="H344" s="616">
        <f t="shared" si="164"/>
        <v>0</v>
      </c>
      <c r="J344" s="626" t="s">
        <v>569</v>
      </c>
      <c r="K344" s="627">
        <v>0</v>
      </c>
      <c r="L344" s="627">
        <v>0</v>
      </c>
      <c r="M344" s="627">
        <v>0</v>
      </c>
      <c r="N344" s="627">
        <v>0</v>
      </c>
      <c r="O344" s="627">
        <v>0</v>
      </c>
      <c r="P344" s="627">
        <v>0</v>
      </c>
      <c r="Q344" s="627">
        <v>0</v>
      </c>
      <c r="R344" s="627">
        <v>0</v>
      </c>
      <c r="S344" s="627">
        <v>0</v>
      </c>
      <c r="T344" s="627">
        <v>0</v>
      </c>
      <c r="U344" s="627">
        <v>0</v>
      </c>
      <c r="V344" s="627">
        <v>0</v>
      </c>
      <c r="W344" s="628">
        <f t="shared" si="165"/>
        <v>0</v>
      </c>
      <c r="Y344" s="287"/>
      <c r="Z344" s="287"/>
    </row>
    <row r="345" spans="3:26" s="63" customFormat="1" ht="3.6" customHeight="1" outlineLevel="1" thickBot="1" x14ac:dyDescent="0.25">
      <c r="C345" s="64"/>
      <c r="D345" s="294"/>
      <c r="E345" s="299"/>
      <c r="F345" s="281"/>
      <c r="G345" s="563"/>
      <c r="H345" s="556"/>
      <c r="J345" s="619"/>
      <c r="K345" s="563"/>
      <c r="L345" s="563"/>
      <c r="M345" s="563"/>
      <c r="N345" s="563"/>
      <c r="O345" s="563"/>
      <c r="P345" s="563"/>
      <c r="Q345" s="563"/>
      <c r="R345" s="563"/>
      <c r="S345" s="563"/>
      <c r="T345" s="563"/>
      <c r="U345" s="563"/>
      <c r="V345" s="563"/>
      <c r="W345" s="556"/>
      <c r="Y345" s="287"/>
      <c r="Z345" s="287"/>
    </row>
    <row r="346" spans="3:26" s="63" customFormat="1" ht="12.75" thickBot="1" x14ac:dyDescent="0.25">
      <c r="C346" s="64"/>
      <c r="D346" s="292"/>
      <c r="E346" s="298"/>
      <c r="F346" s="282" t="str">
        <f>E341</f>
        <v>Classroom Technology Fees</v>
      </c>
      <c r="G346" s="564">
        <f>C341</f>
        <v>6642</v>
      </c>
      <c r="H346" s="557">
        <f>SUBTOTAL(9,H342:H345)</f>
        <v>0</v>
      </c>
      <c r="J346" s="624"/>
      <c r="K346" s="622">
        <f t="shared" ref="K346:W346" si="166">SUBTOTAL(9,K342:K345)</f>
        <v>0</v>
      </c>
      <c r="L346" s="622">
        <f t="shared" si="166"/>
        <v>0</v>
      </c>
      <c r="M346" s="622">
        <f t="shared" si="166"/>
        <v>0</v>
      </c>
      <c r="N346" s="622">
        <f t="shared" si="166"/>
        <v>0</v>
      </c>
      <c r="O346" s="622">
        <f t="shared" si="166"/>
        <v>0</v>
      </c>
      <c r="P346" s="622">
        <f t="shared" si="166"/>
        <v>0</v>
      </c>
      <c r="Q346" s="622">
        <f t="shared" si="166"/>
        <v>0</v>
      </c>
      <c r="R346" s="622">
        <f t="shared" si="166"/>
        <v>0</v>
      </c>
      <c r="S346" s="622">
        <f t="shared" si="166"/>
        <v>0</v>
      </c>
      <c r="T346" s="622">
        <f t="shared" si="166"/>
        <v>0</v>
      </c>
      <c r="U346" s="622">
        <f t="shared" si="166"/>
        <v>0</v>
      </c>
      <c r="V346" s="622">
        <f t="shared" si="166"/>
        <v>0</v>
      </c>
      <c r="W346" s="557">
        <f t="shared" si="166"/>
        <v>0</v>
      </c>
      <c r="X346" s="63" t="str">
        <f>IF(H346=W346,"OK","Error")</f>
        <v>OK</v>
      </c>
      <c r="Y346" s="287">
        <v>0</v>
      </c>
      <c r="Z346" s="287">
        <f>H346-Y346</f>
        <v>0</v>
      </c>
    </row>
    <row r="347" spans="3:26" s="63" customFormat="1" ht="12" outlineLevel="1" x14ac:dyDescent="0.2">
      <c r="C347" s="64"/>
      <c r="D347" s="292"/>
      <c r="E347" s="298"/>
      <c r="F347" s="279"/>
      <c r="G347" s="561"/>
      <c r="H347" s="553"/>
      <c r="J347" s="613"/>
      <c r="K347" s="561"/>
      <c r="L347" s="561"/>
      <c r="M347" s="561"/>
      <c r="N347" s="561"/>
      <c r="O347" s="561"/>
      <c r="P347" s="561"/>
      <c r="Q347" s="561"/>
      <c r="R347" s="561"/>
      <c r="S347" s="561"/>
      <c r="T347" s="561"/>
      <c r="U347" s="561"/>
      <c r="V347" s="561"/>
      <c r="W347" s="553"/>
      <c r="Y347" s="287"/>
      <c r="Z347" s="287"/>
    </row>
    <row r="348" spans="3:26" s="63" customFormat="1" ht="12" outlineLevel="1" x14ac:dyDescent="0.2">
      <c r="C348" s="670">
        <v>6651</v>
      </c>
      <c r="D348" s="292"/>
      <c r="E348" s="298" t="s">
        <v>39</v>
      </c>
      <c r="F348" s="279"/>
      <c r="G348" s="561"/>
      <c r="H348" s="553"/>
      <c r="J348" s="613"/>
      <c r="K348" s="561"/>
      <c r="L348" s="561"/>
      <c r="M348" s="561"/>
      <c r="N348" s="561"/>
      <c r="O348" s="561"/>
      <c r="P348" s="561"/>
      <c r="Q348" s="561"/>
      <c r="R348" s="561"/>
      <c r="S348" s="561"/>
      <c r="T348" s="561"/>
      <c r="U348" s="561"/>
      <c r="V348" s="561"/>
      <c r="W348" s="553"/>
      <c r="Y348" s="287"/>
      <c r="Z348" s="287"/>
    </row>
    <row r="349" spans="3:26" s="63" customFormat="1" ht="12" outlineLevel="1" x14ac:dyDescent="0.2">
      <c r="C349" s="64"/>
      <c r="D349" s="566" t="s">
        <v>271</v>
      </c>
      <c r="E349" s="567" t="s">
        <v>761</v>
      </c>
      <c r="F349" s="568">
        <v>12</v>
      </c>
      <c r="G349" s="618">
        <v>245</v>
      </c>
      <c r="H349" s="616">
        <f>IF(J349="NO", F349*G349,SUM(J349:V349))</f>
        <v>2940</v>
      </c>
      <c r="J349" s="617" t="s">
        <v>569</v>
      </c>
      <c r="K349" s="618">
        <v>245</v>
      </c>
      <c r="L349" s="618">
        <v>245</v>
      </c>
      <c r="M349" s="618">
        <v>245</v>
      </c>
      <c r="N349" s="618">
        <v>245</v>
      </c>
      <c r="O349" s="618">
        <v>245</v>
      </c>
      <c r="P349" s="618">
        <v>245</v>
      </c>
      <c r="Q349" s="618">
        <v>245</v>
      </c>
      <c r="R349" s="618">
        <v>245</v>
      </c>
      <c r="S349" s="618">
        <v>245</v>
      </c>
      <c r="T349" s="618">
        <v>245</v>
      </c>
      <c r="U349" s="618">
        <v>245</v>
      </c>
      <c r="V349" s="618">
        <v>245</v>
      </c>
      <c r="W349" s="616">
        <f>SUM(K349:V349)</f>
        <v>2940</v>
      </c>
      <c r="Y349" s="287"/>
      <c r="Z349" s="287"/>
    </row>
    <row r="350" spans="3:26" s="63" customFormat="1" ht="12" outlineLevel="1" x14ac:dyDescent="0.2">
      <c r="C350" s="64"/>
      <c r="D350" s="566" t="s">
        <v>271</v>
      </c>
      <c r="E350" s="567" t="s">
        <v>781</v>
      </c>
      <c r="F350" s="568">
        <v>12</v>
      </c>
      <c r="G350" s="618">
        <v>100</v>
      </c>
      <c r="H350" s="616">
        <f t="shared" ref="H350:H370" si="167">IF(J350="NO", F350*G350,SUM(J350:V350))</f>
        <v>1200</v>
      </c>
      <c r="J350" s="617" t="s">
        <v>569</v>
      </c>
      <c r="K350" s="618">
        <v>100</v>
      </c>
      <c r="L350" s="618">
        <v>100</v>
      </c>
      <c r="M350" s="618">
        <v>100</v>
      </c>
      <c r="N350" s="618">
        <v>100</v>
      </c>
      <c r="O350" s="618">
        <v>100</v>
      </c>
      <c r="P350" s="618">
        <v>100</v>
      </c>
      <c r="Q350" s="618">
        <v>100</v>
      </c>
      <c r="R350" s="618">
        <v>100</v>
      </c>
      <c r="S350" s="618">
        <v>100</v>
      </c>
      <c r="T350" s="618">
        <v>100</v>
      </c>
      <c r="U350" s="618">
        <v>100</v>
      </c>
      <c r="V350" s="618">
        <v>100</v>
      </c>
      <c r="W350" s="616">
        <f t="shared" ref="W350:W371" si="168">SUM(K350:V350)</f>
        <v>1200</v>
      </c>
      <c r="Y350" s="287"/>
      <c r="Z350" s="287"/>
    </row>
    <row r="351" spans="3:26" s="63" customFormat="1" ht="12" outlineLevel="1" x14ac:dyDescent="0.2">
      <c r="C351" s="64"/>
      <c r="D351" s="566" t="s">
        <v>271</v>
      </c>
      <c r="E351" s="567" t="s">
        <v>762</v>
      </c>
      <c r="F351" s="568">
        <v>1</v>
      </c>
      <c r="G351" s="618">
        <v>120</v>
      </c>
      <c r="H351" s="616">
        <f t="shared" ref="H351" si="169">IF(J351="NO", F351*G351,SUM(J351:V351))</f>
        <v>150</v>
      </c>
      <c r="J351" s="617" t="s">
        <v>569</v>
      </c>
      <c r="K351" s="618">
        <v>0</v>
      </c>
      <c r="L351" s="618">
        <v>0</v>
      </c>
      <c r="M351" s="618">
        <v>0</v>
      </c>
      <c r="N351" s="618">
        <v>0</v>
      </c>
      <c r="O351" s="618">
        <v>0</v>
      </c>
      <c r="P351" s="618">
        <v>0</v>
      </c>
      <c r="Q351" s="618">
        <v>0</v>
      </c>
      <c r="R351" s="618">
        <v>0</v>
      </c>
      <c r="S351" s="618">
        <v>0</v>
      </c>
      <c r="T351" s="618">
        <v>0</v>
      </c>
      <c r="U351" s="618">
        <v>0</v>
      </c>
      <c r="V351" s="618">
        <v>150</v>
      </c>
      <c r="W351" s="616">
        <f t="shared" ref="W351" si="170">SUM(K351:V351)</f>
        <v>150</v>
      </c>
      <c r="Y351" s="287"/>
      <c r="Z351" s="287"/>
    </row>
    <row r="352" spans="3:26" s="63" customFormat="1" ht="12" outlineLevel="1" x14ac:dyDescent="0.2">
      <c r="C352" s="64"/>
      <c r="D352" s="566" t="s">
        <v>271</v>
      </c>
      <c r="E352" s="567" t="s">
        <v>763</v>
      </c>
      <c r="F352" s="568">
        <v>1</v>
      </c>
      <c r="G352" s="618">
        <v>384</v>
      </c>
      <c r="H352" s="616">
        <f t="shared" si="167"/>
        <v>384</v>
      </c>
      <c r="J352" s="617" t="s">
        <v>569</v>
      </c>
      <c r="K352" s="618">
        <v>0</v>
      </c>
      <c r="L352" s="618">
        <v>0</v>
      </c>
      <c r="M352" s="618">
        <v>384</v>
      </c>
      <c r="N352" s="618">
        <v>0</v>
      </c>
      <c r="O352" s="618">
        <v>0</v>
      </c>
      <c r="P352" s="618">
        <v>0</v>
      </c>
      <c r="Q352" s="618">
        <v>0</v>
      </c>
      <c r="R352" s="618">
        <v>0</v>
      </c>
      <c r="S352" s="618">
        <v>0</v>
      </c>
      <c r="T352" s="618">
        <v>0</v>
      </c>
      <c r="U352" s="618">
        <v>0</v>
      </c>
      <c r="V352" s="618">
        <v>0</v>
      </c>
      <c r="W352" s="616">
        <f t="shared" si="168"/>
        <v>384</v>
      </c>
      <c r="Y352" s="287"/>
      <c r="Z352" s="287"/>
    </row>
    <row r="353" spans="3:26" s="63" customFormat="1" ht="12" outlineLevel="1" x14ac:dyDescent="0.2">
      <c r="C353" s="64"/>
      <c r="D353" s="566" t="s">
        <v>271</v>
      </c>
      <c r="E353" s="567" t="s">
        <v>764</v>
      </c>
      <c r="F353" s="568">
        <v>1</v>
      </c>
      <c r="G353" s="618">
        <v>374</v>
      </c>
      <c r="H353" s="616">
        <f t="shared" si="167"/>
        <v>374</v>
      </c>
      <c r="J353" s="617" t="s">
        <v>569</v>
      </c>
      <c r="K353" s="618">
        <v>0</v>
      </c>
      <c r="L353" s="618">
        <v>0</v>
      </c>
      <c r="M353" s="618">
        <v>0</v>
      </c>
      <c r="N353" s="618">
        <v>0</v>
      </c>
      <c r="O353" s="618">
        <v>0</v>
      </c>
      <c r="P353" s="618">
        <v>0</v>
      </c>
      <c r="Q353" s="618">
        <v>0</v>
      </c>
      <c r="R353" s="618">
        <v>374</v>
      </c>
      <c r="S353" s="618">
        <v>0</v>
      </c>
      <c r="T353" s="618">
        <v>0</v>
      </c>
      <c r="U353" s="618">
        <v>0</v>
      </c>
      <c r="V353" s="618">
        <v>0</v>
      </c>
      <c r="W353" s="616">
        <f t="shared" si="168"/>
        <v>374</v>
      </c>
      <c r="Y353" s="287"/>
      <c r="Z353" s="287"/>
    </row>
    <row r="354" spans="3:26" s="63" customFormat="1" ht="12" outlineLevel="1" x14ac:dyDescent="0.2">
      <c r="C354" s="64"/>
      <c r="D354" s="566" t="s">
        <v>271</v>
      </c>
      <c r="E354" s="567" t="s">
        <v>765</v>
      </c>
      <c r="F354" s="568">
        <v>1</v>
      </c>
      <c r="G354" s="618">
        <v>3080</v>
      </c>
      <c r="H354" s="616">
        <f t="shared" si="167"/>
        <v>3080</v>
      </c>
      <c r="J354" s="617" t="s">
        <v>569</v>
      </c>
      <c r="K354" s="618">
        <v>0</v>
      </c>
      <c r="L354" s="618">
        <v>3080</v>
      </c>
      <c r="M354" s="618">
        <v>0</v>
      </c>
      <c r="N354" s="618">
        <v>0</v>
      </c>
      <c r="O354" s="618">
        <v>0</v>
      </c>
      <c r="P354" s="618">
        <v>0</v>
      </c>
      <c r="Q354" s="618">
        <v>0</v>
      </c>
      <c r="R354" s="618">
        <v>0</v>
      </c>
      <c r="S354" s="618">
        <v>0</v>
      </c>
      <c r="T354" s="618">
        <v>0</v>
      </c>
      <c r="U354" s="618">
        <v>0</v>
      </c>
      <c r="V354" s="618">
        <v>0</v>
      </c>
      <c r="W354" s="616">
        <f t="shared" si="168"/>
        <v>3080</v>
      </c>
      <c r="Y354" s="287"/>
      <c r="Z354" s="287"/>
    </row>
    <row r="355" spans="3:26" s="63" customFormat="1" ht="12" outlineLevel="1" x14ac:dyDescent="0.2">
      <c r="C355" s="64"/>
      <c r="D355" s="566" t="s">
        <v>271</v>
      </c>
      <c r="E355" s="567" t="s">
        <v>766</v>
      </c>
      <c r="F355" s="568">
        <v>1</v>
      </c>
      <c r="G355" s="618">
        <v>210</v>
      </c>
      <c r="H355" s="616">
        <f t="shared" si="167"/>
        <v>210</v>
      </c>
      <c r="J355" s="617" t="s">
        <v>569</v>
      </c>
      <c r="K355" s="618">
        <v>0</v>
      </c>
      <c r="L355" s="618">
        <v>210</v>
      </c>
      <c r="M355" s="618">
        <v>0</v>
      </c>
      <c r="N355" s="618">
        <v>0</v>
      </c>
      <c r="O355" s="618">
        <v>0</v>
      </c>
      <c r="P355" s="618">
        <v>0</v>
      </c>
      <c r="Q355" s="618">
        <v>0</v>
      </c>
      <c r="R355" s="618">
        <v>0</v>
      </c>
      <c r="S355" s="618">
        <v>0</v>
      </c>
      <c r="T355" s="618">
        <v>0</v>
      </c>
      <c r="U355" s="618">
        <v>0</v>
      </c>
      <c r="V355" s="618">
        <v>0</v>
      </c>
      <c r="W355" s="616">
        <f t="shared" si="168"/>
        <v>210</v>
      </c>
      <c r="Y355" s="287"/>
      <c r="Z355" s="287"/>
    </row>
    <row r="356" spans="3:26" s="63" customFormat="1" ht="12" outlineLevel="1" x14ac:dyDescent="0.2">
      <c r="C356" s="64"/>
      <c r="D356" s="566" t="s">
        <v>271</v>
      </c>
      <c r="E356" s="567" t="s">
        <v>767</v>
      </c>
      <c r="F356" s="568">
        <v>1</v>
      </c>
      <c r="G356" s="618">
        <v>240</v>
      </c>
      <c r="H356" s="616">
        <f t="shared" si="167"/>
        <v>240</v>
      </c>
      <c r="J356" s="617" t="s">
        <v>569</v>
      </c>
      <c r="K356" s="618">
        <v>0</v>
      </c>
      <c r="L356" s="618">
        <v>240</v>
      </c>
      <c r="M356" s="618">
        <v>0</v>
      </c>
      <c r="N356" s="618">
        <v>0</v>
      </c>
      <c r="O356" s="618">
        <v>0</v>
      </c>
      <c r="P356" s="618">
        <v>0</v>
      </c>
      <c r="Q356" s="618">
        <v>0</v>
      </c>
      <c r="R356" s="618">
        <v>0</v>
      </c>
      <c r="S356" s="618">
        <v>0</v>
      </c>
      <c r="T356" s="618">
        <v>0</v>
      </c>
      <c r="U356" s="618">
        <v>0</v>
      </c>
      <c r="V356" s="618">
        <v>0</v>
      </c>
      <c r="W356" s="616">
        <f t="shared" si="168"/>
        <v>240</v>
      </c>
      <c r="Y356" s="287"/>
      <c r="Z356" s="287"/>
    </row>
    <row r="357" spans="3:26" s="63" customFormat="1" ht="12" outlineLevel="1" x14ac:dyDescent="0.2">
      <c r="C357" s="64"/>
      <c r="D357" s="566" t="s">
        <v>271</v>
      </c>
      <c r="E357" s="567" t="s">
        <v>768</v>
      </c>
      <c r="F357" s="568">
        <v>1</v>
      </c>
      <c r="G357" s="618">
        <v>2400</v>
      </c>
      <c r="H357" s="616">
        <f t="shared" si="167"/>
        <v>2400</v>
      </c>
      <c r="J357" s="617" t="s">
        <v>569</v>
      </c>
      <c r="K357" s="618">
        <v>0</v>
      </c>
      <c r="L357" s="618">
        <v>0</v>
      </c>
      <c r="M357" s="618">
        <v>1900</v>
      </c>
      <c r="N357" s="618">
        <v>0</v>
      </c>
      <c r="O357" s="618">
        <v>500</v>
      </c>
      <c r="P357" s="618">
        <v>0</v>
      </c>
      <c r="Q357" s="618">
        <v>0</v>
      </c>
      <c r="R357" s="618">
        <v>0</v>
      </c>
      <c r="S357" s="618">
        <v>0</v>
      </c>
      <c r="T357" s="618">
        <v>0</v>
      </c>
      <c r="U357" s="618">
        <v>0</v>
      </c>
      <c r="V357" s="618">
        <v>0</v>
      </c>
      <c r="W357" s="616">
        <f t="shared" si="168"/>
        <v>2400</v>
      </c>
      <c r="Y357" s="287"/>
      <c r="Z357" s="287"/>
    </row>
    <row r="358" spans="3:26" s="63" customFormat="1" ht="12" outlineLevel="1" x14ac:dyDescent="0.2">
      <c r="C358" s="64"/>
      <c r="D358" s="566" t="s">
        <v>271</v>
      </c>
      <c r="E358" s="567" t="s">
        <v>769</v>
      </c>
      <c r="F358" s="568">
        <v>1</v>
      </c>
      <c r="G358" s="618">
        <v>500</v>
      </c>
      <c r="H358" s="616">
        <f t="shared" si="167"/>
        <v>500</v>
      </c>
      <c r="J358" s="617" t="s">
        <v>569</v>
      </c>
      <c r="K358" s="618">
        <v>0</v>
      </c>
      <c r="L358" s="618">
        <v>0</v>
      </c>
      <c r="M358" s="618">
        <v>0</v>
      </c>
      <c r="N358" s="618">
        <v>0</v>
      </c>
      <c r="O358" s="618">
        <v>0</v>
      </c>
      <c r="P358" s="618">
        <v>0</v>
      </c>
      <c r="Q358" s="618">
        <v>0</v>
      </c>
      <c r="R358" s="618">
        <v>0</v>
      </c>
      <c r="S358" s="618">
        <v>0</v>
      </c>
      <c r="T358" s="618">
        <v>0</v>
      </c>
      <c r="U358" s="618">
        <v>0</v>
      </c>
      <c r="V358" s="618">
        <v>500</v>
      </c>
      <c r="W358" s="616">
        <f t="shared" si="168"/>
        <v>500</v>
      </c>
      <c r="Y358" s="287"/>
      <c r="Z358" s="287"/>
    </row>
    <row r="359" spans="3:26" s="63" customFormat="1" ht="12" outlineLevel="1" x14ac:dyDescent="0.2">
      <c r="C359" s="64"/>
      <c r="D359" s="566" t="s">
        <v>271</v>
      </c>
      <c r="E359" s="567" t="s">
        <v>770</v>
      </c>
      <c r="F359" s="568">
        <v>1</v>
      </c>
      <c r="G359" s="618">
        <v>80</v>
      </c>
      <c r="H359" s="616">
        <f t="shared" ref="H359" si="171">IF(J359="NO", F359*G359,SUM(J359:V359))</f>
        <v>80</v>
      </c>
      <c r="J359" s="617" t="s">
        <v>569</v>
      </c>
      <c r="K359" s="618">
        <v>0</v>
      </c>
      <c r="L359" s="618">
        <v>0</v>
      </c>
      <c r="M359" s="618">
        <v>0</v>
      </c>
      <c r="N359" s="618">
        <v>0</v>
      </c>
      <c r="O359" s="618">
        <v>0</v>
      </c>
      <c r="P359" s="618">
        <v>0</v>
      </c>
      <c r="Q359" s="618">
        <v>0</v>
      </c>
      <c r="R359" s="618">
        <v>80</v>
      </c>
      <c r="S359" s="618">
        <v>0</v>
      </c>
      <c r="T359" s="618">
        <v>0</v>
      </c>
      <c r="U359" s="618">
        <v>0</v>
      </c>
      <c r="V359" s="618">
        <v>0</v>
      </c>
      <c r="W359" s="616">
        <f t="shared" ref="W359" si="172">SUM(K359:V359)</f>
        <v>80</v>
      </c>
      <c r="Y359" s="287"/>
      <c r="Z359" s="287"/>
    </row>
    <row r="360" spans="3:26" s="63" customFormat="1" ht="12" outlineLevel="1" x14ac:dyDescent="0.2">
      <c r="C360" s="64"/>
      <c r="D360" s="566" t="s">
        <v>271</v>
      </c>
      <c r="E360" s="567" t="s">
        <v>771</v>
      </c>
      <c r="F360" s="568">
        <v>1</v>
      </c>
      <c r="G360" s="618">
        <v>2484</v>
      </c>
      <c r="H360" s="616">
        <f t="shared" si="167"/>
        <v>2500</v>
      </c>
      <c r="J360" s="617" t="s">
        <v>569</v>
      </c>
      <c r="K360" s="618">
        <v>0</v>
      </c>
      <c r="L360" s="618">
        <v>0</v>
      </c>
      <c r="M360" s="618">
        <v>0</v>
      </c>
      <c r="N360" s="618">
        <v>0</v>
      </c>
      <c r="O360" s="618">
        <v>0</v>
      </c>
      <c r="P360" s="618">
        <v>0</v>
      </c>
      <c r="Q360" s="618">
        <v>0</v>
      </c>
      <c r="R360" s="618">
        <v>0</v>
      </c>
      <c r="S360" s="618">
        <v>0</v>
      </c>
      <c r="T360" s="618">
        <v>0</v>
      </c>
      <c r="U360" s="618">
        <v>0</v>
      </c>
      <c r="V360" s="618">
        <v>2500</v>
      </c>
      <c r="W360" s="616">
        <f t="shared" si="168"/>
        <v>2500</v>
      </c>
      <c r="Y360" s="287"/>
      <c r="Z360" s="287"/>
    </row>
    <row r="361" spans="3:26" s="63" customFormat="1" ht="12" outlineLevel="1" x14ac:dyDescent="0.2">
      <c r="C361" s="64"/>
      <c r="D361" s="566" t="s">
        <v>271</v>
      </c>
      <c r="E361" s="567" t="s">
        <v>772</v>
      </c>
      <c r="F361" s="568">
        <v>1</v>
      </c>
      <c r="G361" s="618">
        <v>120</v>
      </c>
      <c r="H361" s="616">
        <f t="shared" si="167"/>
        <v>120</v>
      </c>
      <c r="J361" s="617" t="s">
        <v>569</v>
      </c>
      <c r="K361" s="618">
        <v>0</v>
      </c>
      <c r="L361" s="618">
        <v>0</v>
      </c>
      <c r="M361" s="618">
        <v>0</v>
      </c>
      <c r="N361" s="618">
        <v>0</v>
      </c>
      <c r="O361" s="618">
        <v>0</v>
      </c>
      <c r="P361" s="618">
        <v>0</v>
      </c>
      <c r="Q361" s="618">
        <v>120</v>
      </c>
      <c r="R361" s="618">
        <v>0</v>
      </c>
      <c r="S361" s="618">
        <v>0</v>
      </c>
      <c r="T361" s="618">
        <v>0</v>
      </c>
      <c r="U361" s="618">
        <v>0</v>
      </c>
      <c r="V361" s="618">
        <v>0</v>
      </c>
      <c r="W361" s="616">
        <f t="shared" si="168"/>
        <v>120</v>
      </c>
      <c r="Y361" s="287"/>
      <c r="Z361" s="287"/>
    </row>
    <row r="362" spans="3:26" s="63" customFormat="1" ht="12" outlineLevel="1" x14ac:dyDescent="0.2">
      <c r="C362" s="64"/>
      <c r="D362" s="566" t="s">
        <v>271</v>
      </c>
      <c r="E362" s="567" t="s">
        <v>773</v>
      </c>
      <c r="F362" s="568">
        <v>1</v>
      </c>
      <c r="G362" s="618">
        <v>1500</v>
      </c>
      <c r="H362" s="616">
        <f t="shared" si="167"/>
        <v>1500</v>
      </c>
      <c r="J362" s="617" t="s">
        <v>569</v>
      </c>
      <c r="K362" s="618">
        <v>0</v>
      </c>
      <c r="L362" s="618">
        <v>1500</v>
      </c>
      <c r="M362" s="618">
        <v>0</v>
      </c>
      <c r="N362" s="618">
        <v>0</v>
      </c>
      <c r="O362" s="618">
        <v>0</v>
      </c>
      <c r="P362" s="618">
        <v>0</v>
      </c>
      <c r="Q362" s="618">
        <v>0</v>
      </c>
      <c r="R362" s="618">
        <v>0</v>
      </c>
      <c r="S362" s="618">
        <v>0</v>
      </c>
      <c r="T362" s="618">
        <v>0</v>
      </c>
      <c r="U362" s="618">
        <v>0</v>
      </c>
      <c r="V362" s="618">
        <v>0</v>
      </c>
      <c r="W362" s="616">
        <f t="shared" si="168"/>
        <v>1500</v>
      </c>
      <c r="Y362" s="287"/>
      <c r="Z362" s="287"/>
    </row>
    <row r="363" spans="3:26" s="63" customFormat="1" ht="12" outlineLevel="1" x14ac:dyDescent="0.2">
      <c r="C363" s="64"/>
      <c r="D363" s="566" t="s">
        <v>271</v>
      </c>
      <c r="E363" s="567" t="s">
        <v>774</v>
      </c>
      <c r="F363" s="568">
        <v>1</v>
      </c>
      <c r="G363" s="618">
        <v>11500</v>
      </c>
      <c r="H363" s="616">
        <f t="shared" si="167"/>
        <v>11500</v>
      </c>
      <c r="J363" s="617" t="s">
        <v>569</v>
      </c>
      <c r="K363" s="618">
        <v>0</v>
      </c>
      <c r="L363" s="618">
        <v>0</v>
      </c>
      <c r="M363" s="618">
        <v>0</v>
      </c>
      <c r="N363" s="618">
        <v>0</v>
      </c>
      <c r="O363" s="618">
        <v>0</v>
      </c>
      <c r="P363" s="618">
        <v>0</v>
      </c>
      <c r="Q363" s="618">
        <v>11500</v>
      </c>
      <c r="R363" s="618">
        <v>0</v>
      </c>
      <c r="S363" s="618">
        <v>0</v>
      </c>
      <c r="T363" s="618">
        <v>0</v>
      </c>
      <c r="U363" s="618">
        <v>0</v>
      </c>
      <c r="V363" s="618">
        <v>0</v>
      </c>
      <c r="W363" s="616">
        <f t="shared" si="168"/>
        <v>11500</v>
      </c>
      <c r="Y363" s="287"/>
      <c r="Z363" s="287"/>
    </row>
    <row r="364" spans="3:26" s="63" customFormat="1" ht="12" outlineLevel="1" x14ac:dyDescent="0.2">
      <c r="C364" s="64"/>
      <c r="D364" s="566" t="s">
        <v>271</v>
      </c>
      <c r="E364" s="567" t="s">
        <v>775</v>
      </c>
      <c r="F364" s="568">
        <v>1</v>
      </c>
      <c r="G364" s="618">
        <v>325</v>
      </c>
      <c r="H364" s="616">
        <f t="shared" si="167"/>
        <v>325</v>
      </c>
      <c r="J364" s="617" t="s">
        <v>569</v>
      </c>
      <c r="K364" s="618">
        <v>0</v>
      </c>
      <c r="L364" s="618">
        <v>0</v>
      </c>
      <c r="M364" s="618">
        <v>0</v>
      </c>
      <c r="N364" s="618">
        <v>0</v>
      </c>
      <c r="O364" s="618">
        <v>325</v>
      </c>
      <c r="P364" s="618">
        <v>0</v>
      </c>
      <c r="Q364" s="618">
        <v>0</v>
      </c>
      <c r="R364" s="618">
        <v>0</v>
      </c>
      <c r="S364" s="618">
        <v>0</v>
      </c>
      <c r="T364" s="618">
        <v>0</v>
      </c>
      <c r="U364" s="618">
        <v>0</v>
      </c>
      <c r="V364" s="618">
        <v>0</v>
      </c>
      <c r="W364" s="616">
        <f t="shared" si="168"/>
        <v>325</v>
      </c>
      <c r="Y364" s="287"/>
      <c r="Z364" s="287"/>
    </row>
    <row r="365" spans="3:26" s="63" customFormat="1" ht="12" outlineLevel="1" x14ac:dyDescent="0.2">
      <c r="C365" s="64"/>
      <c r="D365" s="566" t="s">
        <v>271</v>
      </c>
      <c r="E365" s="567" t="s">
        <v>776</v>
      </c>
      <c r="F365" s="568">
        <v>1</v>
      </c>
      <c r="G365" s="618">
        <v>2400</v>
      </c>
      <c r="H365" s="616">
        <f t="shared" si="167"/>
        <v>2400</v>
      </c>
      <c r="J365" s="617" t="s">
        <v>569</v>
      </c>
      <c r="K365" s="618">
        <v>0</v>
      </c>
      <c r="L365" s="618">
        <v>2400</v>
      </c>
      <c r="M365" s="618">
        <v>0</v>
      </c>
      <c r="N365" s="618">
        <v>0</v>
      </c>
      <c r="O365" s="618">
        <v>0</v>
      </c>
      <c r="P365" s="618">
        <v>0</v>
      </c>
      <c r="Q365" s="618">
        <v>0</v>
      </c>
      <c r="R365" s="618">
        <v>0</v>
      </c>
      <c r="S365" s="618">
        <v>0</v>
      </c>
      <c r="T365" s="618">
        <v>0</v>
      </c>
      <c r="U365" s="618">
        <v>0</v>
      </c>
      <c r="V365" s="618">
        <v>0</v>
      </c>
      <c r="W365" s="616">
        <f t="shared" si="168"/>
        <v>2400</v>
      </c>
      <c r="Y365" s="287"/>
      <c r="Z365" s="287"/>
    </row>
    <row r="366" spans="3:26" s="63" customFormat="1" ht="12" outlineLevel="1" x14ac:dyDescent="0.2">
      <c r="C366" s="64"/>
      <c r="D366" s="566" t="s">
        <v>271</v>
      </c>
      <c r="E366" s="567" t="s">
        <v>777</v>
      </c>
      <c r="F366" s="568">
        <v>1</v>
      </c>
      <c r="G366" s="618">
        <v>10500</v>
      </c>
      <c r="H366" s="616">
        <f t="shared" si="167"/>
        <v>10500</v>
      </c>
      <c r="J366" s="617" t="s">
        <v>569</v>
      </c>
      <c r="K366" s="618">
        <v>0</v>
      </c>
      <c r="L366" s="618">
        <v>0</v>
      </c>
      <c r="M366" s="618">
        <v>0</v>
      </c>
      <c r="N366" s="618">
        <v>0</v>
      </c>
      <c r="O366" s="618">
        <v>0</v>
      </c>
      <c r="P366" s="618">
        <v>0</v>
      </c>
      <c r="Q366" s="618">
        <v>10500</v>
      </c>
      <c r="R366" s="618">
        <v>0</v>
      </c>
      <c r="S366" s="618">
        <v>0</v>
      </c>
      <c r="T366" s="618">
        <v>0</v>
      </c>
      <c r="U366" s="618">
        <v>0</v>
      </c>
      <c r="V366" s="618">
        <v>0</v>
      </c>
      <c r="W366" s="616">
        <f t="shared" si="168"/>
        <v>10500</v>
      </c>
      <c r="Y366" s="287"/>
      <c r="Z366" s="287"/>
    </row>
    <row r="367" spans="3:26" s="63" customFormat="1" ht="12" outlineLevel="1" x14ac:dyDescent="0.2">
      <c r="C367" s="64"/>
      <c r="D367" s="566" t="s">
        <v>271</v>
      </c>
      <c r="E367" s="567" t="s">
        <v>778</v>
      </c>
      <c r="F367" s="568">
        <v>1</v>
      </c>
      <c r="G367" s="618">
        <v>1000</v>
      </c>
      <c r="H367" s="616">
        <f t="shared" si="167"/>
        <v>1000</v>
      </c>
      <c r="J367" s="617" t="s">
        <v>569</v>
      </c>
      <c r="K367" s="618">
        <v>0</v>
      </c>
      <c r="L367" s="618">
        <v>0</v>
      </c>
      <c r="M367" s="618">
        <v>1000</v>
      </c>
      <c r="N367" s="618">
        <v>0</v>
      </c>
      <c r="O367" s="618">
        <v>0</v>
      </c>
      <c r="P367" s="618">
        <v>0</v>
      </c>
      <c r="Q367" s="618">
        <v>0</v>
      </c>
      <c r="R367" s="618">
        <v>0</v>
      </c>
      <c r="S367" s="618">
        <v>0</v>
      </c>
      <c r="T367" s="618">
        <v>0</v>
      </c>
      <c r="U367" s="618">
        <v>0</v>
      </c>
      <c r="V367" s="618">
        <v>0</v>
      </c>
      <c r="W367" s="616">
        <f t="shared" si="168"/>
        <v>1000</v>
      </c>
      <c r="Y367" s="287"/>
      <c r="Z367" s="287"/>
    </row>
    <row r="368" spans="3:26" s="63" customFormat="1" ht="12" outlineLevel="1" x14ac:dyDescent="0.2">
      <c r="C368" s="64"/>
      <c r="D368" s="566" t="s">
        <v>271</v>
      </c>
      <c r="E368" s="567" t="s">
        <v>779</v>
      </c>
      <c r="F368" s="568">
        <v>1</v>
      </c>
      <c r="G368" s="618">
        <v>2500</v>
      </c>
      <c r="H368" s="616">
        <f t="shared" si="167"/>
        <v>2500</v>
      </c>
      <c r="J368" s="617" t="s">
        <v>569</v>
      </c>
      <c r="K368" s="618">
        <v>0</v>
      </c>
      <c r="L368" s="618">
        <v>0</v>
      </c>
      <c r="M368" s="618">
        <v>0</v>
      </c>
      <c r="N368" s="618">
        <v>0</v>
      </c>
      <c r="O368" s="618">
        <v>2500</v>
      </c>
      <c r="P368" s="618">
        <v>0</v>
      </c>
      <c r="Q368" s="618">
        <v>0</v>
      </c>
      <c r="R368" s="618">
        <v>0</v>
      </c>
      <c r="S368" s="618">
        <v>0</v>
      </c>
      <c r="T368" s="618">
        <v>0</v>
      </c>
      <c r="U368" s="618">
        <v>0</v>
      </c>
      <c r="V368" s="618">
        <v>0</v>
      </c>
      <c r="W368" s="616">
        <f t="shared" si="168"/>
        <v>2500</v>
      </c>
      <c r="Y368" s="287"/>
      <c r="Z368" s="287"/>
    </row>
    <row r="369" spans="3:26" s="63" customFormat="1" ht="12" outlineLevel="1" x14ac:dyDescent="0.2">
      <c r="C369" s="64"/>
      <c r="D369" s="566" t="s">
        <v>271</v>
      </c>
      <c r="E369" s="567" t="s">
        <v>780</v>
      </c>
      <c r="F369" s="568">
        <v>1</v>
      </c>
      <c r="G369" s="618">
        <v>1200</v>
      </c>
      <c r="H369" s="616">
        <f t="shared" si="167"/>
        <v>1200</v>
      </c>
      <c r="J369" s="617" t="s">
        <v>569</v>
      </c>
      <c r="K369" s="618">
        <v>0</v>
      </c>
      <c r="L369" s="618">
        <v>0</v>
      </c>
      <c r="M369" s="618">
        <v>0</v>
      </c>
      <c r="N369" s="618">
        <v>0</v>
      </c>
      <c r="O369" s="618">
        <v>0</v>
      </c>
      <c r="P369" s="618">
        <v>0</v>
      </c>
      <c r="Q369" s="618">
        <v>0</v>
      </c>
      <c r="R369" s="618">
        <v>0</v>
      </c>
      <c r="S369" s="618">
        <v>0</v>
      </c>
      <c r="T369" s="618">
        <v>0</v>
      </c>
      <c r="U369" s="618">
        <v>0</v>
      </c>
      <c r="V369" s="618">
        <v>1200</v>
      </c>
      <c r="W369" s="616">
        <f t="shared" si="168"/>
        <v>1200</v>
      </c>
      <c r="Y369" s="287"/>
      <c r="Z369" s="287"/>
    </row>
    <row r="370" spans="3:26" s="63" customFormat="1" ht="12" outlineLevel="1" x14ac:dyDescent="0.2">
      <c r="C370" s="64"/>
      <c r="D370" s="566" t="s">
        <v>271</v>
      </c>
      <c r="E370" s="567" t="s">
        <v>577</v>
      </c>
      <c r="F370" s="568">
        <v>0</v>
      </c>
      <c r="G370" s="618">
        <v>0</v>
      </c>
      <c r="H370" s="616">
        <f t="shared" si="167"/>
        <v>0</v>
      </c>
      <c r="J370" s="617" t="s">
        <v>569</v>
      </c>
      <c r="K370" s="618">
        <v>0</v>
      </c>
      <c r="L370" s="618">
        <v>0</v>
      </c>
      <c r="M370" s="618">
        <v>0</v>
      </c>
      <c r="N370" s="618">
        <v>0</v>
      </c>
      <c r="O370" s="618">
        <v>0</v>
      </c>
      <c r="P370" s="618">
        <v>0</v>
      </c>
      <c r="Q370" s="618">
        <v>0</v>
      </c>
      <c r="R370" s="618">
        <v>0</v>
      </c>
      <c r="S370" s="618">
        <v>0</v>
      </c>
      <c r="T370" s="618">
        <v>0</v>
      </c>
      <c r="U370" s="618">
        <v>0</v>
      </c>
      <c r="V370" s="618">
        <v>0</v>
      </c>
      <c r="W370" s="616">
        <f t="shared" si="168"/>
        <v>0</v>
      </c>
      <c r="Y370" s="287"/>
      <c r="Z370" s="287"/>
    </row>
    <row r="371" spans="3:26" s="63" customFormat="1" ht="3.6" customHeight="1" outlineLevel="1" thickBot="1" x14ac:dyDescent="0.25">
      <c r="C371" s="64"/>
      <c r="D371" s="292"/>
      <c r="E371" s="298"/>
      <c r="F371" s="281"/>
      <c r="G371" s="563"/>
      <c r="H371" s="556"/>
      <c r="J371" s="619"/>
      <c r="K371" s="563"/>
      <c r="L371" s="563"/>
      <c r="M371" s="563"/>
      <c r="N371" s="563"/>
      <c r="O371" s="563"/>
      <c r="P371" s="563"/>
      <c r="Q371" s="563"/>
      <c r="R371" s="563"/>
      <c r="S371" s="563"/>
      <c r="T371" s="563"/>
      <c r="U371" s="563"/>
      <c r="V371" s="563"/>
      <c r="W371" s="616">
        <f t="shared" si="168"/>
        <v>0</v>
      </c>
      <c r="Y371" s="287"/>
      <c r="Z371" s="287"/>
    </row>
    <row r="372" spans="3:26" s="63" customFormat="1" ht="12.75" thickBot="1" x14ac:dyDescent="0.25">
      <c r="C372" s="64"/>
      <c r="D372" s="292"/>
      <c r="E372" s="298"/>
      <c r="F372" s="282" t="str">
        <f>E348</f>
        <v>Supplies -Tech -Software</v>
      </c>
      <c r="G372" s="564">
        <f>C348</f>
        <v>6651</v>
      </c>
      <c r="H372" s="557">
        <f>SUBTOTAL(9,H349:H371)</f>
        <v>45103</v>
      </c>
      <c r="J372" s="624"/>
      <c r="K372" s="622">
        <f t="shared" ref="K372:W372" si="173">SUBTOTAL(9,K349:K371)</f>
        <v>345</v>
      </c>
      <c r="L372" s="622">
        <f t="shared" si="173"/>
        <v>7775</v>
      </c>
      <c r="M372" s="622">
        <f t="shared" si="173"/>
        <v>3629</v>
      </c>
      <c r="N372" s="622">
        <f t="shared" si="173"/>
        <v>345</v>
      </c>
      <c r="O372" s="622">
        <f t="shared" si="173"/>
        <v>3670</v>
      </c>
      <c r="P372" s="622">
        <f t="shared" si="173"/>
        <v>345</v>
      </c>
      <c r="Q372" s="622">
        <f t="shared" si="173"/>
        <v>22465</v>
      </c>
      <c r="R372" s="622">
        <f t="shared" si="173"/>
        <v>799</v>
      </c>
      <c r="S372" s="622">
        <f t="shared" si="173"/>
        <v>345</v>
      </c>
      <c r="T372" s="622">
        <f t="shared" si="173"/>
        <v>345</v>
      </c>
      <c r="U372" s="622">
        <f t="shared" si="173"/>
        <v>345</v>
      </c>
      <c r="V372" s="622">
        <f t="shared" si="173"/>
        <v>4695</v>
      </c>
      <c r="W372" s="557">
        <f t="shared" si="173"/>
        <v>45103</v>
      </c>
      <c r="X372" s="63" t="str">
        <f>IF(H372=W372,"OK","Error")</f>
        <v>OK</v>
      </c>
      <c r="Y372" s="287">
        <v>0</v>
      </c>
      <c r="Z372" s="287">
        <f>H372-Y372</f>
        <v>45103</v>
      </c>
    </row>
    <row r="373" spans="3:26" s="63" customFormat="1" ht="12" outlineLevel="1" x14ac:dyDescent="0.2">
      <c r="C373" s="64"/>
      <c r="D373" s="292"/>
      <c r="E373" s="298"/>
      <c r="F373" s="279"/>
      <c r="G373" s="561"/>
      <c r="H373" s="553"/>
      <c r="J373" s="613"/>
      <c r="K373" s="561"/>
      <c r="L373" s="561"/>
      <c r="M373" s="561"/>
      <c r="N373" s="561"/>
      <c r="O373" s="561"/>
      <c r="P373" s="561"/>
      <c r="Q373" s="561"/>
      <c r="R373" s="561"/>
      <c r="S373" s="561"/>
      <c r="T373" s="561"/>
      <c r="U373" s="561"/>
      <c r="V373" s="561"/>
      <c r="W373" s="553"/>
      <c r="Y373" s="287"/>
      <c r="Z373" s="287"/>
    </row>
    <row r="374" spans="3:26" s="63" customFormat="1" ht="12" outlineLevel="1" x14ac:dyDescent="0.2">
      <c r="C374" s="670">
        <v>6652</v>
      </c>
      <c r="D374" s="292"/>
      <c r="E374" s="298" t="s">
        <v>40</v>
      </c>
      <c r="F374" s="279"/>
      <c r="G374" s="561"/>
      <c r="H374" s="553"/>
      <c r="J374" s="613"/>
      <c r="K374" s="561"/>
      <c r="L374" s="561"/>
      <c r="M374" s="561"/>
      <c r="N374" s="561"/>
      <c r="O374" s="561"/>
      <c r="P374" s="561"/>
      <c r="Q374" s="561"/>
      <c r="R374" s="561"/>
      <c r="S374" s="561"/>
      <c r="T374" s="561"/>
      <c r="U374" s="561"/>
      <c r="V374" s="561"/>
      <c r="W374" s="553"/>
      <c r="Y374" s="287"/>
      <c r="Z374" s="287"/>
    </row>
    <row r="375" spans="3:26" s="63" customFormat="1" ht="12" outlineLevel="1" x14ac:dyDescent="0.2">
      <c r="C375" s="64"/>
      <c r="D375" s="566" t="s">
        <v>271</v>
      </c>
      <c r="E375" s="567" t="s">
        <v>783</v>
      </c>
      <c r="F375" s="568">
        <v>1</v>
      </c>
      <c r="G375" s="618">
        <v>1200</v>
      </c>
      <c r="H375" s="616">
        <f t="shared" ref="H375:H378" si="174">IF(J375="NO", F375*G375,SUM(J375:V375))</f>
        <v>0</v>
      </c>
      <c r="J375" s="617" t="s">
        <v>569</v>
      </c>
      <c r="K375" s="618">
        <v>0</v>
      </c>
      <c r="L375" s="618">
        <v>0</v>
      </c>
      <c r="M375" s="618">
        <v>0</v>
      </c>
      <c r="N375" s="618">
        <v>0</v>
      </c>
      <c r="O375" s="618">
        <v>0</v>
      </c>
      <c r="P375" s="618">
        <v>0</v>
      </c>
      <c r="Q375" s="618">
        <v>0</v>
      </c>
      <c r="R375" s="618">
        <v>0</v>
      </c>
      <c r="S375" s="618">
        <v>0</v>
      </c>
      <c r="T375" s="618">
        <v>0</v>
      </c>
      <c r="U375" s="618">
        <v>0</v>
      </c>
      <c r="V375" s="618">
        <v>0</v>
      </c>
      <c r="W375" s="616">
        <f t="shared" ref="W375:W378" si="175">SUM(K375:V375)</f>
        <v>0</v>
      </c>
      <c r="Y375" s="287"/>
      <c r="Z375" s="287"/>
    </row>
    <row r="376" spans="3:26" s="63" customFormat="1" ht="12" outlineLevel="1" x14ac:dyDescent="0.2">
      <c r="C376" s="64"/>
      <c r="D376" s="566" t="s">
        <v>271</v>
      </c>
      <c r="E376" s="567" t="s">
        <v>782</v>
      </c>
      <c r="F376" s="568">
        <v>1</v>
      </c>
      <c r="G376" s="618">
        <v>1200</v>
      </c>
      <c r="H376" s="616">
        <f t="shared" si="174"/>
        <v>0</v>
      </c>
      <c r="J376" s="617" t="s">
        <v>569</v>
      </c>
      <c r="K376" s="618">
        <v>0</v>
      </c>
      <c r="L376" s="618">
        <v>0</v>
      </c>
      <c r="M376" s="618">
        <v>0</v>
      </c>
      <c r="N376" s="618">
        <v>0</v>
      </c>
      <c r="O376" s="618">
        <v>0</v>
      </c>
      <c r="P376" s="618">
        <v>0</v>
      </c>
      <c r="Q376" s="618">
        <v>0</v>
      </c>
      <c r="R376" s="618">
        <v>0</v>
      </c>
      <c r="S376" s="618">
        <v>0</v>
      </c>
      <c r="T376" s="618">
        <v>0</v>
      </c>
      <c r="U376" s="618">
        <v>0</v>
      </c>
      <c r="V376" s="618">
        <v>0</v>
      </c>
      <c r="W376" s="616">
        <f t="shared" si="175"/>
        <v>0</v>
      </c>
      <c r="Y376" s="287"/>
      <c r="Z376" s="287"/>
    </row>
    <row r="377" spans="3:26" s="63" customFormat="1" ht="12" outlineLevel="1" x14ac:dyDescent="0.2">
      <c r="C377" s="64"/>
      <c r="D377" s="566" t="s">
        <v>258</v>
      </c>
      <c r="E377" s="567" t="s">
        <v>560</v>
      </c>
      <c r="F377" s="568">
        <v>0</v>
      </c>
      <c r="G377" s="618">
        <v>0</v>
      </c>
      <c r="H377" s="616">
        <f t="shared" si="174"/>
        <v>0</v>
      </c>
      <c r="J377" s="617" t="s">
        <v>569</v>
      </c>
      <c r="K377" s="618">
        <v>0</v>
      </c>
      <c r="L377" s="618">
        <v>0</v>
      </c>
      <c r="M377" s="618">
        <v>0</v>
      </c>
      <c r="N377" s="618">
        <v>0</v>
      </c>
      <c r="O377" s="618">
        <v>0</v>
      </c>
      <c r="P377" s="618">
        <v>0</v>
      </c>
      <c r="Q377" s="618">
        <v>0</v>
      </c>
      <c r="R377" s="618">
        <v>0</v>
      </c>
      <c r="S377" s="618">
        <v>0</v>
      </c>
      <c r="T377" s="618">
        <v>0</v>
      </c>
      <c r="U377" s="618">
        <v>0</v>
      </c>
      <c r="V377" s="618">
        <v>0</v>
      </c>
      <c r="W377" s="616">
        <f t="shared" si="175"/>
        <v>0</v>
      </c>
      <c r="Y377" s="287"/>
      <c r="Z377" s="287"/>
    </row>
    <row r="378" spans="3:26" s="63" customFormat="1" ht="12" outlineLevel="1" x14ac:dyDescent="0.2">
      <c r="C378" s="64"/>
      <c r="D378" s="566" t="s">
        <v>258</v>
      </c>
      <c r="E378" s="567"/>
      <c r="F378" s="568">
        <v>0</v>
      </c>
      <c r="G378" s="618">
        <v>0</v>
      </c>
      <c r="H378" s="616">
        <f t="shared" si="174"/>
        <v>0</v>
      </c>
      <c r="J378" s="617" t="s">
        <v>569</v>
      </c>
      <c r="K378" s="618">
        <v>0</v>
      </c>
      <c r="L378" s="618">
        <v>0</v>
      </c>
      <c r="M378" s="618">
        <v>0</v>
      </c>
      <c r="N378" s="618">
        <v>0</v>
      </c>
      <c r="O378" s="618">
        <v>0</v>
      </c>
      <c r="P378" s="618">
        <v>0</v>
      </c>
      <c r="Q378" s="618">
        <v>0</v>
      </c>
      <c r="R378" s="618">
        <v>0</v>
      </c>
      <c r="S378" s="618">
        <v>0</v>
      </c>
      <c r="T378" s="618">
        <v>0</v>
      </c>
      <c r="U378" s="618">
        <v>0</v>
      </c>
      <c r="V378" s="618">
        <v>0</v>
      </c>
      <c r="W378" s="616">
        <f t="shared" si="175"/>
        <v>0</v>
      </c>
      <c r="Y378" s="287"/>
      <c r="Z378" s="287"/>
    </row>
    <row r="379" spans="3:26" s="63" customFormat="1" ht="3.6" customHeight="1" outlineLevel="1" thickBot="1" x14ac:dyDescent="0.25">
      <c r="C379" s="64"/>
      <c r="D379" s="294"/>
      <c r="E379" s="299"/>
      <c r="F379" s="281"/>
      <c r="G379" s="563"/>
      <c r="H379" s="556"/>
      <c r="J379" s="619"/>
      <c r="K379" s="563"/>
      <c r="L379" s="563"/>
      <c r="M379" s="563"/>
      <c r="N379" s="563"/>
      <c r="O379" s="563"/>
      <c r="P379" s="563"/>
      <c r="Q379" s="563"/>
      <c r="R379" s="563"/>
      <c r="S379" s="563"/>
      <c r="T379" s="563"/>
      <c r="U379" s="563"/>
      <c r="V379" s="563"/>
      <c r="W379" s="556"/>
      <c r="Y379" s="287"/>
      <c r="Z379" s="287"/>
    </row>
    <row r="380" spans="3:26" s="63" customFormat="1" ht="12.75" thickBot="1" x14ac:dyDescent="0.25">
      <c r="C380" s="64"/>
      <c r="D380" s="292"/>
      <c r="E380" s="298"/>
      <c r="F380" s="282" t="str">
        <f>E374</f>
        <v>Supplies-Equipment</v>
      </c>
      <c r="G380" s="564">
        <f>C374</f>
        <v>6652</v>
      </c>
      <c r="H380" s="557">
        <f>SUBTOTAL(9,H375:H379)</f>
        <v>0</v>
      </c>
      <c r="J380" s="624"/>
      <c r="K380" s="622">
        <f t="shared" ref="K380:W380" si="176">SUBTOTAL(9,K375:K379)</f>
        <v>0</v>
      </c>
      <c r="L380" s="622">
        <f t="shared" si="176"/>
        <v>0</v>
      </c>
      <c r="M380" s="622">
        <f t="shared" si="176"/>
        <v>0</v>
      </c>
      <c r="N380" s="622">
        <f t="shared" si="176"/>
        <v>0</v>
      </c>
      <c r="O380" s="622">
        <f t="shared" si="176"/>
        <v>0</v>
      </c>
      <c r="P380" s="622">
        <f t="shared" si="176"/>
        <v>0</v>
      </c>
      <c r="Q380" s="622">
        <f t="shared" si="176"/>
        <v>0</v>
      </c>
      <c r="R380" s="622">
        <f t="shared" si="176"/>
        <v>0</v>
      </c>
      <c r="S380" s="622">
        <f t="shared" si="176"/>
        <v>0</v>
      </c>
      <c r="T380" s="622">
        <f t="shared" si="176"/>
        <v>0</v>
      </c>
      <c r="U380" s="622">
        <f t="shared" si="176"/>
        <v>0</v>
      </c>
      <c r="V380" s="622">
        <f t="shared" si="176"/>
        <v>0</v>
      </c>
      <c r="W380" s="557">
        <f t="shared" si="176"/>
        <v>0</v>
      </c>
      <c r="X380" s="63" t="str">
        <f>IF(H380=W380,"OK","Error")</f>
        <v>OK</v>
      </c>
      <c r="Y380" s="287">
        <v>0</v>
      </c>
      <c r="Z380" s="287">
        <f>H380-Y380</f>
        <v>0</v>
      </c>
    </row>
    <row r="381" spans="3:26" s="63" customFormat="1" ht="12" x14ac:dyDescent="0.2">
      <c r="C381" s="64"/>
      <c r="D381" s="292"/>
      <c r="E381" s="298"/>
      <c r="F381" s="279"/>
      <c r="G381" s="561"/>
      <c r="H381" s="553"/>
      <c r="J381" s="613"/>
      <c r="K381" s="561"/>
      <c r="L381" s="561"/>
      <c r="M381" s="561"/>
      <c r="N381" s="561"/>
      <c r="O381" s="561"/>
      <c r="P381" s="561"/>
      <c r="Q381" s="561"/>
      <c r="R381" s="561"/>
      <c r="S381" s="561"/>
      <c r="T381" s="561"/>
      <c r="U381" s="561"/>
      <c r="V381" s="561"/>
      <c r="W381" s="553"/>
      <c r="Y381" s="287"/>
      <c r="Z381" s="287"/>
    </row>
    <row r="382" spans="3:26" s="63" customFormat="1" ht="12" x14ac:dyDescent="0.2">
      <c r="C382" s="66" t="s">
        <v>103</v>
      </c>
      <c r="D382" s="292"/>
      <c r="E382" s="298"/>
      <c r="F382" s="279"/>
      <c r="G382" s="561"/>
      <c r="H382" s="553"/>
      <c r="J382" s="613"/>
      <c r="K382" s="561"/>
      <c r="L382" s="561"/>
      <c r="M382" s="561"/>
      <c r="N382" s="561"/>
      <c r="O382" s="561"/>
      <c r="P382" s="561"/>
      <c r="Q382" s="561"/>
      <c r="R382" s="561"/>
      <c r="S382" s="561"/>
      <c r="T382" s="561"/>
      <c r="U382" s="561"/>
      <c r="V382" s="561"/>
      <c r="W382" s="553"/>
      <c r="Y382" s="287"/>
      <c r="Z382" s="287"/>
    </row>
    <row r="383" spans="3:26" s="63" customFormat="1" ht="12" outlineLevel="1" x14ac:dyDescent="0.2">
      <c r="C383" s="670">
        <v>6734</v>
      </c>
      <c r="D383" s="292"/>
      <c r="E383" s="298" t="s">
        <v>41</v>
      </c>
      <c r="F383" s="279"/>
      <c r="G383" s="561"/>
      <c r="H383" s="553"/>
      <c r="J383" s="613"/>
      <c r="K383" s="561"/>
      <c r="L383" s="561"/>
      <c r="M383" s="561"/>
      <c r="N383" s="561"/>
      <c r="O383" s="561"/>
      <c r="P383" s="561"/>
      <c r="Q383" s="561"/>
      <c r="R383" s="561"/>
      <c r="S383" s="561"/>
      <c r="T383" s="561"/>
      <c r="U383" s="561"/>
      <c r="V383" s="561"/>
      <c r="W383" s="553"/>
      <c r="Y383" s="287"/>
      <c r="Z383" s="287"/>
    </row>
    <row r="384" spans="3:26" s="63" customFormat="1" ht="12" outlineLevel="1" x14ac:dyDescent="0.2">
      <c r="C384" s="64"/>
      <c r="D384" s="566" t="s">
        <v>258</v>
      </c>
      <c r="E384" s="567" t="s">
        <v>561</v>
      </c>
      <c r="F384" s="568">
        <v>0</v>
      </c>
      <c r="G384" s="618">
        <v>0</v>
      </c>
      <c r="H384" s="616">
        <f t="shared" ref="H384:H386" si="177">IF(J384="NO", F384*G384,SUM(J384:V384))</f>
        <v>0</v>
      </c>
      <c r="J384" s="617" t="s">
        <v>569</v>
      </c>
      <c r="K384" s="618">
        <v>0</v>
      </c>
      <c r="L384" s="618">
        <v>0</v>
      </c>
      <c r="M384" s="618">
        <v>0</v>
      </c>
      <c r="N384" s="618">
        <v>0</v>
      </c>
      <c r="O384" s="618">
        <v>0</v>
      </c>
      <c r="P384" s="618">
        <v>0</v>
      </c>
      <c r="Q384" s="618">
        <v>0</v>
      </c>
      <c r="R384" s="618">
        <v>0</v>
      </c>
      <c r="S384" s="618">
        <v>0</v>
      </c>
      <c r="T384" s="618">
        <v>0</v>
      </c>
      <c r="U384" s="618">
        <v>0</v>
      </c>
      <c r="V384" s="618">
        <v>0</v>
      </c>
      <c r="W384" s="616">
        <f t="shared" ref="W384:W386" si="178">SUM(K384:V384)</f>
        <v>0</v>
      </c>
      <c r="Y384" s="287"/>
      <c r="Z384" s="287"/>
    </row>
    <row r="385" spans="3:26" s="63" customFormat="1" ht="12" outlineLevel="1" x14ac:dyDescent="0.2">
      <c r="C385" s="64"/>
      <c r="D385" s="566" t="s">
        <v>258</v>
      </c>
      <c r="E385" s="567"/>
      <c r="F385" s="568">
        <v>0</v>
      </c>
      <c r="G385" s="618">
        <v>0</v>
      </c>
      <c r="H385" s="616">
        <f t="shared" si="177"/>
        <v>0</v>
      </c>
      <c r="J385" s="617" t="s">
        <v>569</v>
      </c>
      <c r="K385" s="618">
        <v>0</v>
      </c>
      <c r="L385" s="618">
        <v>0</v>
      </c>
      <c r="M385" s="618">
        <v>0</v>
      </c>
      <c r="N385" s="618">
        <v>0</v>
      </c>
      <c r="O385" s="618">
        <v>0</v>
      </c>
      <c r="P385" s="618">
        <v>0</v>
      </c>
      <c r="Q385" s="618">
        <v>0</v>
      </c>
      <c r="R385" s="618">
        <v>0</v>
      </c>
      <c r="S385" s="618">
        <v>0</v>
      </c>
      <c r="T385" s="618">
        <v>0</v>
      </c>
      <c r="U385" s="618">
        <v>0</v>
      </c>
      <c r="V385" s="618">
        <v>0</v>
      </c>
      <c r="W385" s="616">
        <f t="shared" si="178"/>
        <v>0</v>
      </c>
      <c r="Y385" s="287"/>
      <c r="Z385" s="287"/>
    </row>
    <row r="386" spans="3:26" s="63" customFormat="1" ht="12" outlineLevel="1" x14ac:dyDescent="0.2">
      <c r="C386" s="64"/>
      <c r="D386" s="566" t="s">
        <v>258</v>
      </c>
      <c r="E386" s="567"/>
      <c r="F386" s="568">
        <v>0</v>
      </c>
      <c r="G386" s="618">
        <v>0</v>
      </c>
      <c r="H386" s="616">
        <f t="shared" si="177"/>
        <v>0</v>
      </c>
      <c r="J386" s="617" t="s">
        <v>569</v>
      </c>
      <c r="K386" s="618">
        <v>0</v>
      </c>
      <c r="L386" s="618">
        <v>0</v>
      </c>
      <c r="M386" s="618">
        <v>0</v>
      </c>
      <c r="N386" s="618">
        <v>0</v>
      </c>
      <c r="O386" s="618">
        <v>0</v>
      </c>
      <c r="P386" s="618">
        <v>0</v>
      </c>
      <c r="Q386" s="618">
        <v>0</v>
      </c>
      <c r="R386" s="618">
        <v>0</v>
      </c>
      <c r="S386" s="618">
        <v>0</v>
      </c>
      <c r="T386" s="618">
        <v>0</v>
      </c>
      <c r="U386" s="618">
        <v>0</v>
      </c>
      <c r="V386" s="618">
        <v>0</v>
      </c>
      <c r="W386" s="616">
        <f t="shared" si="178"/>
        <v>0</v>
      </c>
      <c r="Y386" s="287"/>
      <c r="Z386" s="287"/>
    </row>
    <row r="387" spans="3:26" s="63" customFormat="1" ht="3.6" customHeight="1" outlineLevel="1" thickBot="1" x14ac:dyDescent="0.25">
      <c r="C387" s="64"/>
      <c r="D387" s="294"/>
      <c r="E387" s="299"/>
      <c r="F387" s="281"/>
      <c r="G387" s="563"/>
      <c r="H387" s="556"/>
      <c r="J387" s="619"/>
      <c r="K387" s="563"/>
      <c r="L387" s="563"/>
      <c r="M387" s="563"/>
      <c r="N387" s="563"/>
      <c r="O387" s="563"/>
      <c r="P387" s="563"/>
      <c r="Q387" s="563"/>
      <c r="R387" s="563"/>
      <c r="S387" s="563"/>
      <c r="T387" s="563"/>
      <c r="U387" s="563"/>
      <c r="V387" s="563"/>
      <c r="W387" s="556"/>
      <c r="Y387" s="287"/>
      <c r="Z387" s="287"/>
    </row>
    <row r="388" spans="3:26" s="63" customFormat="1" ht="12.75" thickBot="1" x14ac:dyDescent="0.25">
      <c r="C388" s="64"/>
      <c r="D388" s="292"/>
      <c r="E388" s="298"/>
      <c r="F388" s="282" t="str">
        <f>E383</f>
        <v>Technology-Related Hardware</v>
      </c>
      <c r="G388" s="564">
        <f>C383</f>
        <v>6734</v>
      </c>
      <c r="H388" s="557">
        <f>SUBTOTAL(9,H384:H387)</f>
        <v>0</v>
      </c>
      <c r="J388" s="624"/>
      <c r="K388" s="622">
        <f>SUBTOTAL(9,K384:K387)</f>
        <v>0</v>
      </c>
      <c r="L388" s="622">
        <f t="shared" ref="L388:V388" si="179">SUBTOTAL(9,L384:L387)</f>
        <v>0</v>
      </c>
      <c r="M388" s="622">
        <f t="shared" si="179"/>
        <v>0</v>
      </c>
      <c r="N388" s="622">
        <f t="shared" si="179"/>
        <v>0</v>
      </c>
      <c r="O388" s="622">
        <f t="shared" si="179"/>
        <v>0</v>
      </c>
      <c r="P388" s="622">
        <f t="shared" si="179"/>
        <v>0</v>
      </c>
      <c r="Q388" s="622">
        <f t="shared" si="179"/>
        <v>0</v>
      </c>
      <c r="R388" s="622">
        <f t="shared" si="179"/>
        <v>0</v>
      </c>
      <c r="S388" s="622">
        <f t="shared" si="179"/>
        <v>0</v>
      </c>
      <c r="T388" s="622">
        <f t="shared" si="179"/>
        <v>0</v>
      </c>
      <c r="U388" s="622">
        <f t="shared" si="179"/>
        <v>0</v>
      </c>
      <c r="V388" s="622">
        <f t="shared" si="179"/>
        <v>0</v>
      </c>
      <c r="W388" s="557">
        <f>SUBTOTAL(9,W384:W387)</f>
        <v>0</v>
      </c>
      <c r="X388" s="63" t="str">
        <f>IF(H388=W388,"OK","Error")</f>
        <v>OK</v>
      </c>
      <c r="Y388" s="287">
        <v>0</v>
      </c>
      <c r="Z388" s="287">
        <f>H388-Y388</f>
        <v>0</v>
      </c>
    </row>
    <row r="389" spans="3:26" s="63" customFormat="1" ht="12" x14ac:dyDescent="0.2">
      <c r="C389" s="64"/>
      <c r="D389" s="292"/>
      <c r="E389" s="298"/>
      <c r="F389" s="279"/>
      <c r="G389" s="561"/>
      <c r="H389" s="553"/>
      <c r="J389" s="613"/>
      <c r="K389" s="561"/>
      <c r="L389" s="561"/>
      <c r="M389" s="561"/>
      <c r="N389" s="561"/>
      <c r="O389" s="561"/>
      <c r="P389" s="561"/>
      <c r="Q389" s="561"/>
      <c r="R389" s="561"/>
      <c r="S389" s="561"/>
      <c r="T389" s="561"/>
      <c r="U389" s="561"/>
      <c r="V389" s="561"/>
      <c r="W389" s="553"/>
      <c r="Y389" s="287"/>
      <c r="Z389" s="287"/>
    </row>
    <row r="390" spans="3:26" s="63" customFormat="1" ht="12" x14ac:dyDescent="0.2">
      <c r="C390" s="66" t="s">
        <v>104</v>
      </c>
      <c r="D390" s="292"/>
      <c r="E390" s="298"/>
      <c r="F390" s="279"/>
      <c r="G390" s="561"/>
      <c r="H390" s="553"/>
      <c r="J390" s="613"/>
      <c r="K390" s="561"/>
      <c r="L390" s="561"/>
      <c r="M390" s="561"/>
      <c r="N390" s="561"/>
      <c r="O390" s="561"/>
      <c r="P390" s="561"/>
      <c r="Q390" s="561"/>
      <c r="R390" s="561"/>
      <c r="S390" s="561"/>
      <c r="T390" s="561"/>
      <c r="U390" s="561"/>
      <c r="V390" s="561"/>
      <c r="W390" s="553"/>
      <c r="Y390" s="287"/>
      <c r="Z390" s="287"/>
    </row>
    <row r="391" spans="3:26" s="63" customFormat="1" ht="12" outlineLevel="1" x14ac:dyDescent="0.2">
      <c r="C391" s="670">
        <v>6810</v>
      </c>
      <c r="D391" s="292"/>
      <c r="E391" s="298" t="s">
        <v>42</v>
      </c>
      <c r="F391" s="279"/>
      <c r="G391" s="561"/>
      <c r="H391" s="553"/>
      <c r="J391" s="613"/>
      <c r="K391" s="561"/>
      <c r="L391" s="561"/>
      <c r="M391" s="561"/>
      <c r="N391" s="561"/>
      <c r="O391" s="561"/>
      <c r="P391" s="561"/>
      <c r="Q391" s="561"/>
      <c r="R391" s="561"/>
      <c r="S391" s="561"/>
      <c r="T391" s="561"/>
      <c r="U391" s="561"/>
      <c r="V391" s="561"/>
      <c r="W391" s="553"/>
      <c r="Y391" s="287"/>
      <c r="Z391" s="287"/>
    </row>
    <row r="392" spans="3:26" s="63" customFormat="1" ht="12" outlineLevel="1" x14ac:dyDescent="0.2">
      <c r="C392" s="64"/>
      <c r="D392" s="566" t="s">
        <v>323</v>
      </c>
      <c r="E392" s="567" t="s">
        <v>686</v>
      </c>
      <c r="F392" s="568">
        <v>120</v>
      </c>
      <c r="G392" s="618">
        <v>5</v>
      </c>
      <c r="H392" s="616">
        <f t="shared" ref="H392:H397" si="180">IF(J392="NO", F392*G392,SUM(J392:V392))</f>
        <v>600</v>
      </c>
      <c r="J392" s="617" t="s">
        <v>569</v>
      </c>
      <c r="K392" s="618">
        <v>50</v>
      </c>
      <c r="L392" s="618">
        <v>50</v>
      </c>
      <c r="M392" s="618">
        <v>50</v>
      </c>
      <c r="N392" s="618">
        <v>50</v>
      </c>
      <c r="O392" s="618">
        <v>50</v>
      </c>
      <c r="P392" s="618">
        <v>50</v>
      </c>
      <c r="Q392" s="618">
        <v>50</v>
      </c>
      <c r="R392" s="618">
        <v>50</v>
      </c>
      <c r="S392" s="618">
        <v>50</v>
      </c>
      <c r="T392" s="618">
        <v>50</v>
      </c>
      <c r="U392" s="618">
        <v>50</v>
      </c>
      <c r="V392" s="618">
        <v>50</v>
      </c>
      <c r="W392" s="616">
        <f>SUM(K392:V392)</f>
        <v>600</v>
      </c>
      <c r="Y392" s="287"/>
      <c r="Z392" s="287"/>
    </row>
    <row r="393" spans="3:26" s="63" customFormat="1" ht="12" outlineLevel="1" x14ac:dyDescent="0.2">
      <c r="C393" s="64"/>
      <c r="D393" s="566" t="s">
        <v>276</v>
      </c>
      <c r="E393" s="567" t="s">
        <v>678</v>
      </c>
      <c r="F393" s="568">
        <v>12</v>
      </c>
      <c r="G393" s="618">
        <v>120</v>
      </c>
      <c r="H393" s="616">
        <f t="shared" si="180"/>
        <v>1440</v>
      </c>
      <c r="J393" s="617" t="s">
        <v>569</v>
      </c>
      <c r="K393" s="618">
        <v>120</v>
      </c>
      <c r="L393" s="618">
        <v>120</v>
      </c>
      <c r="M393" s="618">
        <v>120</v>
      </c>
      <c r="N393" s="618">
        <v>120</v>
      </c>
      <c r="O393" s="618">
        <v>120</v>
      </c>
      <c r="P393" s="618">
        <v>120</v>
      </c>
      <c r="Q393" s="618">
        <v>120</v>
      </c>
      <c r="R393" s="618">
        <v>120</v>
      </c>
      <c r="S393" s="618">
        <v>120</v>
      </c>
      <c r="T393" s="618">
        <v>120</v>
      </c>
      <c r="U393" s="618">
        <v>120</v>
      </c>
      <c r="V393" s="618">
        <v>120</v>
      </c>
      <c r="W393" s="616">
        <f t="shared" ref="W393" si="181">SUM(K393:V393)</f>
        <v>1440</v>
      </c>
      <c r="Y393" s="287"/>
      <c r="Z393" s="287"/>
    </row>
    <row r="394" spans="3:26" s="63" customFormat="1" ht="12" outlineLevel="1" x14ac:dyDescent="0.2">
      <c r="C394" s="64"/>
      <c r="D394" s="566" t="s">
        <v>276</v>
      </c>
      <c r="E394" s="567" t="s">
        <v>683</v>
      </c>
      <c r="F394" s="568">
        <v>10</v>
      </c>
      <c r="G394" s="618">
        <v>60</v>
      </c>
      <c r="H394" s="616">
        <f t="shared" si="180"/>
        <v>600</v>
      </c>
      <c r="J394" s="617" t="s">
        <v>569</v>
      </c>
      <c r="K394" s="618">
        <v>50</v>
      </c>
      <c r="L394" s="618">
        <v>50</v>
      </c>
      <c r="M394" s="618">
        <v>50</v>
      </c>
      <c r="N394" s="618">
        <v>50</v>
      </c>
      <c r="O394" s="618">
        <v>50</v>
      </c>
      <c r="P394" s="618">
        <v>50</v>
      </c>
      <c r="Q394" s="618">
        <v>50</v>
      </c>
      <c r="R394" s="618">
        <v>50</v>
      </c>
      <c r="S394" s="618">
        <v>50</v>
      </c>
      <c r="T394" s="618">
        <v>50</v>
      </c>
      <c r="U394" s="618">
        <v>50</v>
      </c>
      <c r="V394" s="618">
        <v>50</v>
      </c>
      <c r="W394" s="616">
        <f>SUM(K394:V394)</f>
        <v>600</v>
      </c>
      <c r="Y394" s="287"/>
      <c r="Z394" s="287"/>
    </row>
    <row r="395" spans="3:26" s="63" customFormat="1" ht="12" outlineLevel="1" x14ac:dyDescent="0.2">
      <c r="C395" s="64"/>
      <c r="D395" s="566" t="s">
        <v>276</v>
      </c>
      <c r="E395" s="567" t="s">
        <v>684</v>
      </c>
      <c r="F395" s="568">
        <f>AVERAGE('Rev &amp; Enroll'!Q24:AB24)</f>
        <v>1000</v>
      </c>
      <c r="G395" s="674">
        <v>0.3</v>
      </c>
      <c r="H395" s="616">
        <f t="shared" si="180"/>
        <v>300</v>
      </c>
      <c r="J395" s="617" t="s">
        <v>569</v>
      </c>
      <c r="K395" s="618">
        <v>25</v>
      </c>
      <c r="L395" s="618">
        <v>25</v>
      </c>
      <c r="M395" s="618">
        <v>25</v>
      </c>
      <c r="N395" s="618">
        <v>25</v>
      </c>
      <c r="O395" s="618">
        <v>25</v>
      </c>
      <c r="P395" s="618">
        <v>25</v>
      </c>
      <c r="Q395" s="618">
        <v>25</v>
      </c>
      <c r="R395" s="618">
        <v>25</v>
      </c>
      <c r="S395" s="618">
        <v>25</v>
      </c>
      <c r="T395" s="618">
        <v>25</v>
      </c>
      <c r="U395" s="618">
        <v>25</v>
      </c>
      <c r="V395" s="618">
        <v>25</v>
      </c>
      <c r="W395" s="616">
        <f>SUM(K395:V395)</f>
        <v>300</v>
      </c>
      <c r="Y395" s="287"/>
      <c r="Z395" s="287"/>
    </row>
    <row r="396" spans="3:26" s="63" customFormat="1" ht="12" outlineLevel="1" x14ac:dyDescent="0.2">
      <c r="C396" s="64"/>
      <c r="D396" s="566" t="s">
        <v>276</v>
      </c>
      <c r="E396" s="567" t="s">
        <v>685</v>
      </c>
      <c r="F396" s="568">
        <v>12</v>
      </c>
      <c r="G396" s="618">
        <v>50</v>
      </c>
      <c r="H396" s="616">
        <f t="shared" si="180"/>
        <v>600</v>
      </c>
      <c r="J396" s="617" t="s">
        <v>569</v>
      </c>
      <c r="K396" s="618">
        <v>50</v>
      </c>
      <c r="L396" s="618">
        <v>50</v>
      </c>
      <c r="M396" s="618">
        <v>50</v>
      </c>
      <c r="N396" s="618">
        <v>50</v>
      </c>
      <c r="O396" s="618">
        <v>50</v>
      </c>
      <c r="P396" s="618">
        <v>50</v>
      </c>
      <c r="Q396" s="618">
        <v>50</v>
      </c>
      <c r="R396" s="618">
        <v>50</v>
      </c>
      <c r="S396" s="618">
        <v>50</v>
      </c>
      <c r="T396" s="618">
        <v>50</v>
      </c>
      <c r="U396" s="618">
        <v>50</v>
      </c>
      <c r="V396" s="618">
        <v>50</v>
      </c>
      <c r="W396" s="616">
        <f>SUM(K396:V396)</f>
        <v>600</v>
      </c>
      <c r="Y396" s="287"/>
      <c r="Z396" s="287"/>
    </row>
    <row r="397" spans="3:26" s="63" customFormat="1" ht="12" outlineLevel="1" x14ac:dyDescent="0.2">
      <c r="C397" s="64"/>
      <c r="D397" s="566" t="s">
        <v>276</v>
      </c>
      <c r="E397" s="567" t="s">
        <v>793</v>
      </c>
      <c r="F397" s="568">
        <v>5</v>
      </c>
      <c r="G397" s="618">
        <v>200</v>
      </c>
      <c r="H397" s="616">
        <f t="shared" si="180"/>
        <v>1000</v>
      </c>
      <c r="J397" s="617" t="s">
        <v>569</v>
      </c>
      <c r="K397" s="618">
        <v>0</v>
      </c>
      <c r="L397" s="618">
        <v>250</v>
      </c>
      <c r="M397" s="618">
        <v>0</v>
      </c>
      <c r="N397" s="618">
        <v>0</v>
      </c>
      <c r="O397" s="618">
        <v>250</v>
      </c>
      <c r="P397" s="618">
        <v>0</v>
      </c>
      <c r="Q397" s="618">
        <v>0</v>
      </c>
      <c r="R397" s="618">
        <v>250</v>
      </c>
      <c r="S397" s="618">
        <v>0</v>
      </c>
      <c r="T397" s="618">
        <v>0</v>
      </c>
      <c r="U397" s="618">
        <v>250</v>
      </c>
      <c r="V397" s="618">
        <v>0</v>
      </c>
      <c r="W397" s="616">
        <f>SUM(K397:V397)</f>
        <v>1000</v>
      </c>
      <c r="Y397" s="287"/>
      <c r="Z397" s="287"/>
    </row>
    <row r="398" spans="3:26" s="63" customFormat="1" ht="12" outlineLevel="1" x14ac:dyDescent="0.2">
      <c r="C398" s="64"/>
      <c r="D398" s="566" t="s">
        <v>272</v>
      </c>
      <c r="E398" s="567" t="s">
        <v>790</v>
      </c>
      <c r="F398" s="568">
        <v>1</v>
      </c>
      <c r="G398" s="618">
        <v>90</v>
      </c>
      <c r="H398" s="616">
        <f t="shared" ref="H398" si="182">IF(J398="NO", F398*G398,SUM(J398:V398))</f>
        <v>90</v>
      </c>
      <c r="J398" s="617" t="s">
        <v>569</v>
      </c>
      <c r="K398" s="618">
        <v>90</v>
      </c>
      <c r="L398" s="618">
        <v>0</v>
      </c>
      <c r="M398" s="618">
        <v>0</v>
      </c>
      <c r="N398" s="618">
        <v>0</v>
      </c>
      <c r="O398" s="618">
        <v>0</v>
      </c>
      <c r="P398" s="618">
        <v>0</v>
      </c>
      <c r="Q398" s="618">
        <v>0</v>
      </c>
      <c r="R398" s="618">
        <v>0</v>
      </c>
      <c r="S398" s="618">
        <v>0</v>
      </c>
      <c r="T398" s="618">
        <v>0</v>
      </c>
      <c r="U398" s="618">
        <v>0</v>
      </c>
      <c r="V398" s="618">
        <v>0</v>
      </c>
      <c r="W398" s="616">
        <f t="shared" ref="W398" si="183">SUM(K398:V398)</f>
        <v>90</v>
      </c>
      <c r="Y398" s="287"/>
      <c r="Z398" s="287"/>
    </row>
    <row r="399" spans="3:26" s="63" customFormat="1" ht="12" outlineLevel="1" x14ac:dyDescent="0.2">
      <c r="C399" s="64"/>
      <c r="D399" s="566" t="s">
        <v>272</v>
      </c>
      <c r="E399" s="567" t="s">
        <v>676</v>
      </c>
      <c r="F399" s="568">
        <v>1</v>
      </c>
      <c r="G399" s="618">
        <v>120</v>
      </c>
      <c r="H399" s="616">
        <f t="shared" ref="H399:H405" si="184">IF(J399="NO", F399*G399,SUM(J399:V399))</f>
        <v>118</v>
      </c>
      <c r="J399" s="617" t="s">
        <v>569</v>
      </c>
      <c r="K399" s="618">
        <v>118</v>
      </c>
      <c r="L399" s="618">
        <v>0</v>
      </c>
      <c r="M399" s="618">
        <v>0</v>
      </c>
      <c r="N399" s="618">
        <v>0</v>
      </c>
      <c r="O399" s="618">
        <v>0</v>
      </c>
      <c r="P399" s="618">
        <v>0</v>
      </c>
      <c r="Q399" s="618">
        <v>0</v>
      </c>
      <c r="R399" s="618">
        <v>0</v>
      </c>
      <c r="S399" s="618">
        <v>0</v>
      </c>
      <c r="T399" s="618">
        <v>0</v>
      </c>
      <c r="U399" s="618">
        <v>0</v>
      </c>
      <c r="V399" s="618">
        <v>0</v>
      </c>
      <c r="W399" s="616">
        <f t="shared" ref="W399:W406" si="185">SUM(K399:V399)</f>
        <v>118</v>
      </c>
      <c r="Y399" s="287"/>
      <c r="Z399" s="287"/>
    </row>
    <row r="400" spans="3:26" s="63" customFormat="1" ht="12" outlineLevel="1" x14ac:dyDescent="0.2">
      <c r="C400" s="64"/>
      <c r="D400" s="566" t="s">
        <v>269</v>
      </c>
      <c r="E400" s="567" t="s">
        <v>679</v>
      </c>
      <c r="F400" s="568">
        <v>1</v>
      </c>
      <c r="G400" s="618">
        <v>450</v>
      </c>
      <c r="H400" s="616">
        <f>IF(J400="NO", F400*G400,SUM(J400:V400))</f>
        <v>450</v>
      </c>
      <c r="J400" s="617" t="s">
        <v>569</v>
      </c>
      <c r="K400" s="618">
        <v>450</v>
      </c>
      <c r="L400" s="618">
        <v>0</v>
      </c>
      <c r="M400" s="618">
        <v>0</v>
      </c>
      <c r="N400" s="618">
        <v>0</v>
      </c>
      <c r="O400" s="618">
        <v>0</v>
      </c>
      <c r="P400" s="618">
        <v>0</v>
      </c>
      <c r="Q400" s="618">
        <v>0</v>
      </c>
      <c r="R400" s="618">
        <v>0</v>
      </c>
      <c r="S400" s="618">
        <v>0</v>
      </c>
      <c r="T400" s="618">
        <v>0</v>
      </c>
      <c r="U400" s="618">
        <v>0</v>
      </c>
      <c r="V400" s="618">
        <v>0</v>
      </c>
      <c r="W400" s="616">
        <f>SUM(K400:V400)</f>
        <v>450</v>
      </c>
      <c r="Y400" s="287"/>
      <c r="Z400" s="287"/>
    </row>
    <row r="401" spans="3:26" s="63" customFormat="1" ht="12" outlineLevel="1" x14ac:dyDescent="0.2">
      <c r="C401" s="64"/>
      <c r="D401" s="566" t="s">
        <v>269</v>
      </c>
      <c r="E401" s="567" t="s">
        <v>680</v>
      </c>
      <c r="F401" s="568">
        <v>1</v>
      </c>
      <c r="G401" s="618">
        <v>2200</v>
      </c>
      <c r="H401" s="616">
        <f>IF(J401="NO", F401*G401,SUM(J401:V401))</f>
        <v>2200</v>
      </c>
      <c r="J401" s="617" t="s">
        <v>569</v>
      </c>
      <c r="K401" s="618">
        <v>0</v>
      </c>
      <c r="L401" s="618">
        <v>2200</v>
      </c>
      <c r="M401" s="618">
        <v>0</v>
      </c>
      <c r="N401" s="618">
        <v>0</v>
      </c>
      <c r="O401" s="618">
        <v>0</v>
      </c>
      <c r="P401" s="618">
        <v>0</v>
      </c>
      <c r="Q401" s="618">
        <v>0</v>
      </c>
      <c r="R401" s="618">
        <v>0</v>
      </c>
      <c r="S401" s="618">
        <v>0</v>
      </c>
      <c r="T401" s="618">
        <v>0</v>
      </c>
      <c r="U401" s="618">
        <v>0</v>
      </c>
      <c r="V401" s="618">
        <v>0</v>
      </c>
      <c r="W401" s="616">
        <f>SUM(K401:V401)</f>
        <v>2200</v>
      </c>
      <c r="Y401" s="287"/>
      <c r="Z401" s="287"/>
    </row>
    <row r="402" spans="3:26" s="63" customFormat="1" ht="12" outlineLevel="1" x14ac:dyDescent="0.2">
      <c r="C402" s="64"/>
      <c r="D402" s="566" t="s">
        <v>269</v>
      </c>
      <c r="E402" s="567" t="s">
        <v>681</v>
      </c>
      <c r="F402" s="568">
        <v>1</v>
      </c>
      <c r="G402" s="618">
        <v>365</v>
      </c>
      <c r="H402" s="616">
        <f>IF(J402="NO", F402*G402,SUM(J402:V402))</f>
        <v>365</v>
      </c>
      <c r="J402" s="617" t="s">
        <v>569</v>
      </c>
      <c r="K402" s="618">
        <v>0</v>
      </c>
      <c r="L402" s="618">
        <v>0</v>
      </c>
      <c r="M402" s="618">
        <v>0</v>
      </c>
      <c r="N402" s="618">
        <v>0</v>
      </c>
      <c r="O402" s="618">
        <v>0</v>
      </c>
      <c r="P402" s="618">
        <v>365</v>
      </c>
      <c r="Q402" s="618">
        <v>0</v>
      </c>
      <c r="R402" s="618">
        <v>0</v>
      </c>
      <c r="S402" s="618">
        <v>0</v>
      </c>
      <c r="T402" s="618">
        <v>0</v>
      </c>
      <c r="U402" s="618">
        <v>0</v>
      </c>
      <c r="V402" s="618">
        <v>0</v>
      </c>
      <c r="W402" s="616">
        <f>SUM(K402:V402)</f>
        <v>365</v>
      </c>
      <c r="Y402" s="287"/>
      <c r="Z402" s="287"/>
    </row>
    <row r="403" spans="3:26" s="63" customFormat="1" ht="12" outlineLevel="1" x14ac:dyDescent="0.2">
      <c r="C403" s="64"/>
      <c r="D403" s="566" t="s">
        <v>269</v>
      </c>
      <c r="E403" s="567" t="s">
        <v>809</v>
      </c>
      <c r="F403" s="568">
        <v>2</v>
      </c>
      <c r="G403" s="618">
        <v>240</v>
      </c>
      <c r="H403" s="616">
        <f>IF(J403="NO", F403*G403,SUM(J403:V403))</f>
        <v>480</v>
      </c>
      <c r="J403" s="617" t="s">
        <v>569</v>
      </c>
      <c r="K403" s="618">
        <v>0</v>
      </c>
      <c r="L403" s="618">
        <v>0</v>
      </c>
      <c r="M403" s="618">
        <v>0</v>
      </c>
      <c r="N403" s="618">
        <v>0</v>
      </c>
      <c r="O403" s="618">
        <v>0</v>
      </c>
      <c r="P403" s="618">
        <v>480</v>
      </c>
      <c r="Q403" s="618">
        <v>0</v>
      </c>
      <c r="R403" s="618">
        <v>0</v>
      </c>
      <c r="S403" s="618">
        <v>0</v>
      </c>
      <c r="T403" s="618">
        <v>0</v>
      </c>
      <c r="U403" s="618">
        <v>0</v>
      </c>
      <c r="V403" s="618">
        <v>0</v>
      </c>
      <c r="W403" s="616">
        <f>SUM(K403:V403)</f>
        <v>480</v>
      </c>
      <c r="Y403" s="287"/>
      <c r="Z403" s="287"/>
    </row>
    <row r="404" spans="3:26" s="63" customFormat="1" ht="12" outlineLevel="1" x14ac:dyDescent="0.2">
      <c r="C404" s="64"/>
      <c r="D404" s="566" t="s">
        <v>269</v>
      </c>
      <c r="E404" s="567" t="s">
        <v>682</v>
      </c>
      <c r="F404" s="568">
        <v>1</v>
      </c>
      <c r="G404" s="618">
        <v>400</v>
      </c>
      <c r="H404" s="616">
        <f>IF(J404="NO", F404*G404,SUM(J404:V404))</f>
        <v>400</v>
      </c>
      <c r="J404" s="617" t="s">
        <v>569</v>
      </c>
      <c r="K404" s="618">
        <v>0</v>
      </c>
      <c r="L404" s="618">
        <v>0</v>
      </c>
      <c r="M404" s="618">
        <v>0</v>
      </c>
      <c r="N404" s="618">
        <v>0</v>
      </c>
      <c r="O404" s="618">
        <v>0</v>
      </c>
      <c r="P404" s="618">
        <v>400</v>
      </c>
      <c r="Q404" s="618">
        <v>0</v>
      </c>
      <c r="R404" s="618">
        <v>0</v>
      </c>
      <c r="S404" s="618">
        <v>0</v>
      </c>
      <c r="T404" s="618">
        <v>0</v>
      </c>
      <c r="U404" s="618">
        <v>0</v>
      </c>
      <c r="V404" s="618">
        <v>0</v>
      </c>
      <c r="W404" s="616">
        <f>SUM(K404:V404)</f>
        <v>400</v>
      </c>
      <c r="Y404" s="287"/>
      <c r="Z404" s="287"/>
    </row>
    <row r="405" spans="3:26" s="63" customFormat="1" ht="12" outlineLevel="1" x14ac:dyDescent="0.2">
      <c r="C405" s="64"/>
      <c r="D405" s="566" t="s">
        <v>276</v>
      </c>
      <c r="E405" s="567" t="s">
        <v>677</v>
      </c>
      <c r="F405" s="568">
        <v>7</v>
      </c>
      <c r="G405" s="618">
        <v>1200</v>
      </c>
      <c r="H405" s="616">
        <f t="shared" si="184"/>
        <v>8400</v>
      </c>
      <c r="J405" s="617" t="s">
        <v>564</v>
      </c>
      <c r="K405" s="618">
        <v>0</v>
      </c>
      <c r="L405" s="618">
        <v>0</v>
      </c>
      <c r="M405" s="618">
        <v>8400</v>
      </c>
      <c r="N405" s="618">
        <v>0</v>
      </c>
      <c r="O405" s="618">
        <v>0</v>
      </c>
      <c r="P405" s="618">
        <v>0</v>
      </c>
      <c r="Q405" s="618">
        <v>0</v>
      </c>
      <c r="R405" s="618">
        <v>0</v>
      </c>
      <c r="S405" s="618">
        <v>0</v>
      </c>
      <c r="T405" s="618">
        <v>0</v>
      </c>
      <c r="U405" s="618">
        <v>0</v>
      </c>
      <c r="V405" s="618">
        <v>0</v>
      </c>
      <c r="W405" s="616">
        <f t="shared" si="185"/>
        <v>8400</v>
      </c>
      <c r="Y405" s="287"/>
      <c r="Z405" s="287"/>
    </row>
    <row r="406" spans="3:26" s="63" customFormat="1" ht="12" outlineLevel="1" x14ac:dyDescent="0.2">
      <c r="C406" s="64"/>
      <c r="D406" s="566" t="s">
        <v>276</v>
      </c>
      <c r="E406" s="567" t="s">
        <v>619</v>
      </c>
      <c r="F406" s="568">
        <v>0</v>
      </c>
      <c r="G406" s="618">
        <v>0</v>
      </c>
      <c r="H406" s="616">
        <f>IF(J406="NO", F406*G406,SUM(J406:V406))</f>
        <v>0</v>
      </c>
      <c r="J406" s="617" t="s">
        <v>564</v>
      </c>
      <c r="K406" s="618">
        <v>0</v>
      </c>
      <c r="L406" s="618">
        <v>0</v>
      </c>
      <c r="M406" s="618">
        <v>0</v>
      </c>
      <c r="N406" s="618">
        <v>0</v>
      </c>
      <c r="O406" s="618">
        <v>0</v>
      </c>
      <c r="P406" s="618">
        <v>0</v>
      </c>
      <c r="Q406" s="618">
        <v>0</v>
      </c>
      <c r="R406" s="618">
        <v>0</v>
      </c>
      <c r="S406" s="618">
        <v>0</v>
      </c>
      <c r="T406" s="618">
        <v>0</v>
      </c>
      <c r="U406" s="618">
        <v>0</v>
      </c>
      <c r="V406" s="618">
        <v>0</v>
      </c>
      <c r="W406" s="616">
        <f t="shared" si="185"/>
        <v>0</v>
      </c>
      <c r="Y406" s="287"/>
      <c r="Z406" s="287"/>
    </row>
    <row r="407" spans="3:26" s="63" customFormat="1" ht="3.6" customHeight="1" outlineLevel="1" thickBot="1" x14ac:dyDescent="0.25">
      <c r="C407" s="64"/>
      <c r="D407" s="294"/>
      <c r="E407" s="299"/>
      <c r="F407" s="281"/>
      <c r="G407" s="563"/>
      <c r="H407" s="556"/>
      <c r="J407" s="619"/>
      <c r="K407" s="563"/>
      <c r="L407" s="563"/>
      <c r="M407" s="563"/>
      <c r="N407" s="563"/>
      <c r="O407" s="563"/>
      <c r="P407" s="563"/>
      <c r="Q407" s="563"/>
      <c r="R407" s="563"/>
      <c r="S407" s="563"/>
      <c r="T407" s="563"/>
      <c r="U407" s="563"/>
      <c r="V407" s="563"/>
      <c r="W407" s="556"/>
      <c r="Y407" s="287"/>
      <c r="Z407" s="287"/>
    </row>
    <row r="408" spans="3:26" s="63" customFormat="1" ht="12.75" thickBot="1" x14ac:dyDescent="0.25">
      <c r="C408" s="64"/>
      <c r="D408" s="292"/>
      <c r="E408" s="298"/>
      <c r="F408" s="282" t="str">
        <f>E391</f>
        <v>Dues and Fees</v>
      </c>
      <c r="G408" s="564">
        <f>C391</f>
        <v>6810</v>
      </c>
      <c r="H408" s="557">
        <f>SUBTOTAL(9,H392:H407)</f>
        <v>17043</v>
      </c>
      <c r="J408" s="624"/>
      <c r="K408" s="622">
        <f t="shared" ref="K408:W408" si="186">SUBTOTAL(9,K392:K407)</f>
        <v>953</v>
      </c>
      <c r="L408" s="622">
        <f t="shared" si="186"/>
        <v>2745</v>
      </c>
      <c r="M408" s="622">
        <f t="shared" si="186"/>
        <v>8695</v>
      </c>
      <c r="N408" s="622">
        <f t="shared" si="186"/>
        <v>295</v>
      </c>
      <c r="O408" s="622">
        <f t="shared" si="186"/>
        <v>545</v>
      </c>
      <c r="P408" s="622">
        <f t="shared" si="186"/>
        <v>1540</v>
      </c>
      <c r="Q408" s="622">
        <f t="shared" si="186"/>
        <v>295</v>
      </c>
      <c r="R408" s="622">
        <f t="shared" si="186"/>
        <v>545</v>
      </c>
      <c r="S408" s="622">
        <f t="shared" si="186"/>
        <v>295</v>
      </c>
      <c r="T408" s="622">
        <f t="shared" si="186"/>
        <v>295</v>
      </c>
      <c r="U408" s="622">
        <f t="shared" si="186"/>
        <v>545</v>
      </c>
      <c r="V408" s="622">
        <f t="shared" si="186"/>
        <v>295</v>
      </c>
      <c r="W408" s="557">
        <f t="shared" si="186"/>
        <v>17043</v>
      </c>
      <c r="X408" s="63" t="str">
        <f>IF(H408=W408,"OK","Error")</f>
        <v>OK</v>
      </c>
      <c r="Y408" s="287">
        <v>0</v>
      </c>
      <c r="Z408" s="287">
        <f>H408-Y408</f>
        <v>17043</v>
      </c>
    </row>
    <row r="409" spans="3:26" s="63" customFormat="1" ht="12" x14ac:dyDescent="0.2">
      <c r="C409" s="64"/>
      <c r="D409" s="292"/>
      <c r="E409" s="298"/>
      <c r="F409" s="279"/>
      <c r="G409" s="561"/>
      <c r="H409" s="553"/>
      <c r="J409" s="613"/>
      <c r="K409" s="561"/>
      <c r="L409" s="561"/>
      <c r="M409" s="561"/>
      <c r="N409" s="561"/>
      <c r="O409" s="561"/>
      <c r="P409" s="561"/>
      <c r="Q409" s="561"/>
      <c r="R409" s="561"/>
      <c r="S409" s="561"/>
      <c r="T409" s="561"/>
      <c r="U409" s="561"/>
      <c r="V409" s="561"/>
      <c r="W409" s="553"/>
      <c r="Y409" s="287"/>
      <c r="Z409" s="287"/>
    </row>
    <row r="410" spans="3:26" s="63" customFormat="1" ht="12" x14ac:dyDescent="0.2">
      <c r="C410" s="66" t="s">
        <v>43</v>
      </c>
      <c r="D410" s="292"/>
      <c r="E410" s="298"/>
      <c r="F410" s="279"/>
      <c r="G410" s="561"/>
      <c r="H410" s="553"/>
      <c r="J410" s="613"/>
      <c r="K410" s="561"/>
      <c r="L410" s="561"/>
      <c r="M410" s="561"/>
      <c r="N410" s="561"/>
      <c r="O410" s="561"/>
      <c r="P410" s="561"/>
      <c r="Q410" s="561"/>
      <c r="R410" s="561"/>
      <c r="S410" s="561"/>
      <c r="T410" s="561"/>
      <c r="U410" s="561"/>
      <c r="V410" s="561"/>
      <c r="W410" s="553"/>
      <c r="Y410" s="287"/>
      <c r="Z410" s="287"/>
    </row>
    <row r="411" spans="3:26" s="63" customFormat="1" ht="12" outlineLevel="1" x14ac:dyDescent="0.2">
      <c r="C411" s="670">
        <v>7306</v>
      </c>
      <c r="D411" s="292"/>
      <c r="E411" s="298" t="s">
        <v>43</v>
      </c>
      <c r="F411" s="279"/>
      <c r="G411" s="561"/>
      <c r="H411" s="553"/>
      <c r="J411" s="613"/>
      <c r="K411" s="561"/>
      <c r="L411" s="561"/>
      <c r="M411" s="561"/>
      <c r="N411" s="561"/>
      <c r="O411" s="561"/>
      <c r="P411" s="561"/>
      <c r="Q411" s="561"/>
      <c r="R411" s="561"/>
      <c r="S411" s="561"/>
      <c r="T411" s="561"/>
      <c r="U411" s="561"/>
      <c r="V411" s="561"/>
      <c r="W411" s="553"/>
      <c r="Y411" s="287"/>
      <c r="Z411" s="287"/>
    </row>
    <row r="412" spans="3:26" s="63" customFormat="1" ht="12" outlineLevel="1" x14ac:dyDescent="0.2">
      <c r="C412" s="64"/>
      <c r="D412" s="593" t="s">
        <v>258</v>
      </c>
      <c r="E412" s="594"/>
      <c r="F412" s="595">
        <v>0</v>
      </c>
      <c r="G412" s="540">
        <v>0</v>
      </c>
      <c r="H412" s="555">
        <f t="shared" ref="H412:H416" si="187">F412*G412</f>
        <v>0</v>
      </c>
      <c r="J412" s="626" t="s">
        <v>564</v>
      </c>
      <c r="K412" s="627">
        <f t="shared" ref="K412:V416" si="188">$F412*$G412/12</f>
        <v>0</v>
      </c>
      <c r="L412" s="627">
        <f t="shared" si="188"/>
        <v>0</v>
      </c>
      <c r="M412" s="627">
        <f t="shared" si="188"/>
        <v>0</v>
      </c>
      <c r="N412" s="627">
        <f t="shared" si="188"/>
        <v>0</v>
      </c>
      <c r="O412" s="627">
        <f t="shared" si="188"/>
        <v>0</v>
      </c>
      <c r="P412" s="627">
        <f t="shared" si="188"/>
        <v>0</v>
      </c>
      <c r="Q412" s="627">
        <f t="shared" si="188"/>
        <v>0</v>
      </c>
      <c r="R412" s="627">
        <f t="shared" si="188"/>
        <v>0</v>
      </c>
      <c r="S412" s="627">
        <f t="shared" si="188"/>
        <v>0</v>
      </c>
      <c r="T412" s="627">
        <f t="shared" si="188"/>
        <v>0</v>
      </c>
      <c r="U412" s="627">
        <f t="shared" si="188"/>
        <v>0</v>
      </c>
      <c r="V412" s="627">
        <f t="shared" si="188"/>
        <v>0</v>
      </c>
      <c r="W412" s="628">
        <f t="shared" ref="W412:W416" si="189">SUM(K412:V412)</f>
        <v>0</v>
      </c>
      <c r="Y412" s="287"/>
      <c r="Z412" s="287"/>
    </row>
    <row r="413" spans="3:26" s="63" customFormat="1" ht="12" outlineLevel="1" x14ac:dyDescent="0.2">
      <c r="C413" s="64"/>
      <c r="D413" s="593" t="s">
        <v>258</v>
      </c>
      <c r="E413" s="594"/>
      <c r="F413" s="595">
        <v>0</v>
      </c>
      <c r="G413" s="540">
        <v>0</v>
      </c>
      <c r="H413" s="555">
        <f t="shared" si="187"/>
        <v>0</v>
      </c>
      <c r="J413" s="626" t="s">
        <v>564</v>
      </c>
      <c r="K413" s="627">
        <f t="shared" si="188"/>
        <v>0</v>
      </c>
      <c r="L413" s="627">
        <f t="shared" si="188"/>
        <v>0</v>
      </c>
      <c r="M413" s="627">
        <f t="shared" si="188"/>
        <v>0</v>
      </c>
      <c r="N413" s="627">
        <f t="shared" si="188"/>
        <v>0</v>
      </c>
      <c r="O413" s="627">
        <f t="shared" si="188"/>
        <v>0</v>
      </c>
      <c r="P413" s="627">
        <f t="shared" si="188"/>
        <v>0</v>
      </c>
      <c r="Q413" s="627">
        <f t="shared" si="188"/>
        <v>0</v>
      </c>
      <c r="R413" s="627">
        <f t="shared" si="188"/>
        <v>0</v>
      </c>
      <c r="S413" s="627">
        <f t="shared" si="188"/>
        <v>0</v>
      </c>
      <c r="T413" s="627">
        <f t="shared" si="188"/>
        <v>0</v>
      </c>
      <c r="U413" s="627">
        <f t="shared" si="188"/>
        <v>0</v>
      </c>
      <c r="V413" s="627">
        <f t="shared" si="188"/>
        <v>0</v>
      </c>
      <c r="W413" s="628">
        <f t="shared" si="189"/>
        <v>0</v>
      </c>
      <c r="Y413" s="287"/>
      <c r="Z413" s="287"/>
    </row>
    <row r="414" spans="3:26" s="63" customFormat="1" ht="12" outlineLevel="1" x14ac:dyDescent="0.2">
      <c r="C414" s="64"/>
      <c r="D414" s="593" t="s">
        <v>258</v>
      </c>
      <c r="E414" s="594"/>
      <c r="F414" s="595">
        <v>0</v>
      </c>
      <c r="G414" s="540">
        <v>0</v>
      </c>
      <c r="H414" s="555">
        <f t="shared" si="187"/>
        <v>0</v>
      </c>
      <c r="J414" s="626" t="s">
        <v>564</v>
      </c>
      <c r="K414" s="627">
        <f t="shared" si="188"/>
        <v>0</v>
      </c>
      <c r="L414" s="627">
        <f t="shared" si="188"/>
        <v>0</v>
      </c>
      <c r="M414" s="627">
        <f t="shared" si="188"/>
        <v>0</v>
      </c>
      <c r="N414" s="627">
        <f t="shared" si="188"/>
        <v>0</v>
      </c>
      <c r="O414" s="627">
        <f t="shared" si="188"/>
        <v>0</v>
      </c>
      <c r="P414" s="627">
        <f t="shared" si="188"/>
        <v>0</v>
      </c>
      <c r="Q414" s="627">
        <f t="shared" si="188"/>
        <v>0</v>
      </c>
      <c r="R414" s="627">
        <f t="shared" si="188"/>
        <v>0</v>
      </c>
      <c r="S414" s="627">
        <f t="shared" si="188"/>
        <v>0</v>
      </c>
      <c r="T414" s="627">
        <f t="shared" si="188"/>
        <v>0</v>
      </c>
      <c r="U414" s="627">
        <f t="shared" si="188"/>
        <v>0</v>
      </c>
      <c r="V414" s="627">
        <f t="shared" si="188"/>
        <v>0</v>
      </c>
      <c r="W414" s="628">
        <f t="shared" si="189"/>
        <v>0</v>
      </c>
      <c r="Y414" s="287"/>
      <c r="Z414" s="287"/>
    </row>
    <row r="415" spans="3:26" s="63" customFormat="1" ht="12" outlineLevel="1" x14ac:dyDescent="0.2">
      <c r="C415" s="64"/>
      <c r="D415" s="593" t="s">
        <v>258</v>
      </c>
      <c r="E415" s="594"/>
      <c r="F415" s="595">
        <v>0</v>
      </c>
      <c r="G415" s="540">
        <v>0</v>
      </c>
      <c r="H415" s="555">
        <f t="shared" si="187"/>
        <v>0</v>
      </c>
      <c r="J415" s="626" t="s">
        <v>564</v>
      </c>
      <c r="K415" s="627">
        <f t="shared" si="188"/>
        <v>0</v>
      </c>
      <c r="L415" s="627">
        <f t="shared" si="188"/>
        <v>0</v>
      </c>
      <c r="M415" s="627">
        <f t="shared" si="188"/>
        <v>0</v>
      </c>
      <c r="N415" s="627">
        <f t="shared" si="188"/>
        <v>0</v>
      </c>
      <c r="O415" s="627">
        <f t="shared" si="188"/>
        <v>0</v>
      </c>
      <c r="P415" s="627">
        <f t="shared" si="188"/>
        <v>0</v>
      </c>
      <c r="Q415" s="627">
        <f t="shared" si="188"/>
        <v>0</v>
      </c>
      <c r="R415" s="627">
        <f t="shared" si="188"/>
        <v>0</v>
      </c>
      <c r="S415" s="627">
        <f t="shared" si="188"/>
        <v>0</v>
      </c>
      <c r="T415" s="627">
        <f t="shared" si="188"/>
        <v>0</v>
      </c>
      <c r="U415" s="627">
        <f t="shared" si="188"/>
        <v>0</v>
      </c>
      <c r="V415" s="627">
        <f t="shared" si="188"/>
        <v>0</v>
      </c>
      <c r="W415" s="628">
        <f t="shared" si="189"/>
        <v>0</v>
      </c>
      <c r="Y415" s="287"/>
      <c r="Z415" s="287"/>
    </row>
    <row r="416" spans="3:26" s="63" customFormat="1" ht="12" outlineLevel="1" x14ac:dyDescent="0.2">
      <c r="C416" s="64"/>
      <c r="D416" s="593" t="s">
        <v>258</v>
      </c>
      <c r="E416" s="594"/>
      <c r="F416" s="595">
        <v>0</v>
      </c>
      <c r="G416" s="540">
        <v>0</v>
      </c>
      <c r="H416" s="555">
        <f t="shared" si="187"/>
        <v>0</v>
      </c>
      <c r="J416" s="626" t="s">
        <v>564</v>
      </c>
      <c r="K416" s="627">
        <f t="shared" si="188"/>
        <v>0</v>
      </c>
      <c r="L416" s="627">
        <f t="shared" si="188"/>
        <v>0</v>
      </c>
      <c r="M416" s="627">
        <f t="shared" si="188"/>
        <v>0</v>
      </c>
      <c r="N416" s="627">
        <f t="shared" si="188"/>
        <v>0</v>
      </c>
      <c r="O416" s="627">
        <f t="shared" si="188"/>
        <v>0</v>
      </c>
      <c r="P416" s="627">
        <f t="shared" si="188"/>
        <v>0</v>
      </c>
      <c r="Q416" s="627">
        <f t="shared" si="188"/>
        <v>0</v>
      </c>
      <c r="R416" s="627">
        <f t="shared" si="188"/>
        <v>0</v>
      </c>
      <c r="S416" s="627">
        <f t="shared" si="188"/>
        <v>0</v>
      </c>
      <c r="T416" s="627">
        <f t="shared" si="188"/>
        <v>0</v>
      </c>
      <c r="U416" s="627">
        <f t="shared" si="188"/>
        <v>0</v>
      </c>
      <c r="V416" s="627">
        <f t="shared" si="188"/>
        <v>0</v>
      </c>
      <c r="W416" s="628">
        <f t="shared" si="189"/>
        <v>0</v>
      </c>
      <c r="Y416" s="287"/>
      <c r="Z416" s="287"/>
    </row>
    <row r="417" spans="3:26" s="63" customFormat="1" ht="3.6" customHeight="1" outlineLevel="1" thickBot="1" x14ac:dyDescent="0.25">
      <c r="C417" s="64"/>
      <c r="D417" s="294"/>
      <c r="E417" s="299"/>
      <c r="F417" s="281"/>
      <c r="G417" s="563"/>
      <c r="H417" s="556"/>
      <c r="J417" s="619"/>
      <c r="K417" s="563"/>
      <c r="L417" s="563"/>
      <c r="M417" s="563"/>
      <c r="N417" s="563"/>
      <c r="O417" s="563"/>
      <c r="P417" s="563"/>
      <c r="Q417" s="563"/>
      <c r="R417" s="563"/>
      <c r="S417" s="563"/>
      <c r="T417" s="563"/>
      <c r="U417" s="563"/>
      <c r="V417" s="563"/>
      <c r="W417" s="556"/>
      <c r="Y417" s="287"/>
      <c r="Z417" s="287"/>
    </row>
    <row r="418" spans="3:26" s="63" customFormat="1" ht="12.75" thickBot="1" x14ac:dyDescent="0.25">
      <c r="C418" s="64"/>
      <c r="D418" s="292"/>
      <c r="E418" s="298"/>
      <c r="F418" s="282" t="str">
        <f>E411</f>
        <v>General</v>
      </c>
      <c r="G418" s="564">
        <f>C411</f>
        <v>7306</v>
      </c>
      <c r="H418" s="557">
        <f>SUBTOTAL(9,H412:H417)</f>
        <v>0</v>
      </c>
      <c r="J418" s="624"/>
      <c r="K418" s="622">
        <f>SUBTOTAL(9,K412:K417)</f>
        <v>0</v>
      </c>
      <c r="L418" s="622">
        <f t="shared" ref="L418:V418" si="190">SUBTOTAL(9,L412:L417)</f>
        <v>0</v>
      </c>
      <c r="M418" s="622">
        <f t="shared" si="190"/>
        <v>0</v>
      </c>
      <c r="N418" s="622">
        <f t="shared" si="190"/>
        <v>0</v>
      </c>
      <c r="O418" s="622">
        <f t="shared" si="190"/>
        <v>0</v>
      </c>
      <c r="P418" s="622">
        <f t="shared" si="190"/>
        <v>0</v>
      </c>
      <c r="Q418" s="622">
        <f t="shared" si="190"/>
        <v>0</v>
      </c>
      <c r="R418" s="622">
        <f t="shared" si="190"/>
        <v>0</v>
      </c>
      <c r="S418" s="622">
        <f t="shared" si="190"/>
        <v>0</v>
      </c>
      <c r="T418" s="622">
        <f t="shared" si="190"/>
        <v>0</v>
      </c>
      <c r="U418" s="622">
        <f t="shared" si="190"/>
        <v>0</v>
      </c>
      <c r="V418" s="622">
        <f t="shared" si="190"/>
        <v>0</v>
      </c>
      <c r="W418" s="557">
        <f>SUBTOTAL(9,W412:W417)</f>
        <v>0</v>
      </c>
      <c r="X418" s="63" t="str">
        <f>IF(H418=W418,"OK","Error")</f>
        <v>OK</v>
      </c>
      <c r="Y418" s="287">
        <v>0</v>
      </c>
      <c r="Z418" s="287">
        <f>H418-Y418</f>
        <v>0</v>
      </c>
    </row>
    <row r="419" spans="3:26" s="63" customFormat="1" ht="12" outlineLevel="1" x14ac:dyDescent="0.2">
      <c r="C419" s="64"/>
      <c r="D419" s="292"/>
      <c r="E419" s="298"/>
      <c r="F419" s="279"/>
      <c r="G419" s="561"/>
      <c r="H419" s="553"/>
      <c r="J419" s="613"/>
      <c r="K419" s="561"/>
      <c r="L419" s="561"/>
      <c r="M419" s="561"/>
      <c r="N419" s="561"/>
      <c r="O419" s="561"/>
      <c r="P419" s="561"/>
      <c r="Q419" s="561"/>
      <c r="R419" s="561"/>
      <c r="S419" s="561"/>
      <c r="T419" s="561"/>
      <c r="U419" s="561"/>
      <c r="V419" s="561"/>
      <c r="W419" s="553"/>
      <c r="Y419" s="287"/>
      <c r="Z419" s="287"/>
    </row>
    <row r="420" spans="3:26" s="63" customFormat="1" ht="12" outlineLevel="1" x14ac:dyDescent="0.2">
      <c r="C420" s="670">
        <v>7901</v>
      </c>
      <c r="D420" s="292"/>
      <c r="E420" s="298" t="s">
        <v>177</v>
      </c>
      <c r="F420" s="279"/>
      <c r="G420" s="561"/>
      <c r="H420" s="553"/>
      <c r="J420" s="613"/>
      <c r="K420" s="561"/>
      <c r="L420" s="561"/>
      <c r="M420" s="561"/>
      <c r="N420" s="561"/>
      <c r="O420" s="561"/>
      <c r="P420" s="561"/>
      <c r="Q420" s="561"/>
      <c r="R420" s="561"/>
      <c r="S420" s="561"/>
      <c r="T420" s="561"/>
      <c r="U420" s="561"/>
      <c r="V420" s="561"/>
      <c r="W420" s="553"/>
      <c r="Y420" s="287"/>
      <c r="Z420" s="287"/>
    </row>
    <row r="421" spans="3:26" s="63" customFormat="1" ht="12" outlineLevel="1" x14ac:dyDescent="0.2">
      <c r="C421" s="64"/>
      <c r="D421" s="593" t="s">
        <v>258</v>
      </c>
      <c r="E421" s="594"/>
      <c r="F421" s="595">
        <v>0</v>
      </c>
      <c r="G421" s="540">
        <v>0</v>
      </c>
      <c r="H421" s="555">
        <f t="shared" ref="H421:H425" si="191">F421*G421</f>
        <v>0</v>
      </c>
      <c r="J421" s="626" t="s">
        <v>564</v>
      </c>
      <c r="K421" s="627">
        <f t="shared" ref="K421:V425" si="192">$F421*$G421/12</f>
        <v>0</v>
      </c>
      <c r="L421" s="627">
        <f t="shared" si="192"/>
        <v>0</v>
      </c>
      <c r="M421" s="627">
        <f t="shared" si="192"/>
        <v>0</v>
      </c>
      <c r="N421" s="627">
        <f t="shared" si="192"/>
        <v>0</v>
      </c>
      <c r="O421" s="627">
        <f t="shared" si="192"/>
        <v>0</v>
      </c>
      <c r="P421" s="627">
        <f t="shared" si="192"/>
        <v>0</v>
      </c>
      <c r="Q421" s="627">
        <f t="shared" si="192"/>
        <v>0</v>
      </c>
      <c r="R421" s="627">
        <f t="shared" si="192"/>
        <v>0</v>
      </c>
      <c r="S421" s="627">
        <f t="shared" si="192"/>
        <v>0</v>
      </c>
      <c r="T421" s="627">
        <f t="shared" si="192"/>
        <v>0</v>
      </c>
      <c r="U421" s="627">
        <f t="shared" si="192"/>
        <v>0</v>
      </c>
      <c r="V421" s="627">
        <f t="shared" si="192"/>
        <v>0</v>
      </c>
      <c r="W421" s="628">
        <f t="shared" ref="W421:W425" si="193">SUM(K421:V421)</f>
        <v>0</v>
      </c>
      <c r="Y421" s="287"/>
      <c r="Z421" s="287"/>
    </row>
    <row r="422" spans="3:26" s="63" customFormat="1" ht="12" outlineLevel="1" x14ac:dyDescent="0.2">
      <c r="C422" s="64"/>
      <c r="D422" s="593" t="s">
        <v>258</v>
      </c>
      <c r="E422" s="594"/>
      <c r="F422" s="595">
        <v>0</v>
      </c>
      <c r="G422" s="540">
        <v>0</v>
      </c>
      <c r="H422" s="555">
        <f t="shared" si="191"/>
        <v>0</v>
      </c>
      <c r="J422" s="626" t="s">
        <v>564</v>
      </c>
      <c r="K422" s="627">
        <f t="shared" si="192"/>
        <v>0</v>
      </c>
      <c r="L422" s="627">
        <f t="shared" si="192"/>
        <v>0</v>
      </c>
      <c r="M422" s="627">
        <f t="shared" si="192"/>
        <v>0</v>
      </c>
      <c r="N422" s="627">
        <f t="shared" si="192"/>
        <v>0</v>
      </c>
      <c r="O422" s="627">
        <f t="shared" si="192"/>
        <v>0</v>
      </c>
      <c r="P422" s="627">
        <f t="shared" si="192"/>
        <v>0</v>
      </c>
      <c r="Q422" s="627">
        <f t="shared" si="192"/>
        <v>0</v>
      </c>
      <c r="R422" s="627">
        <f t="shared" si="192"/>
        <v>0</v>
      </c>
      <c r="S422" s="627">
        <f t="shared" si="192"/>
        <v>0</v>
      </c>
      <c r="T422" s="627">
        <f t="shared" si="192"/>
        <v>0</v>
      </c>
      <c r="U422" s="627">
        <f t="shared" si="192"/>
        <v>0</v>
      </c>
      <c r="V422" s="627">
        <f t="shared" si="192"/>
        <v>0</v>
      </c>
      <c r="W422" s="628">
        <f t="shared" si="193"/>
        <v>0</v>
      </c>
      <c r="Y422" s="287"/>
      <c r="Z422" s="287"/>
    </row>
    <row r="423" spans="3:26" s="63" customFormat="1" ht="12" outlineLevel="1" x14ac:dyDescent="0.2">
      <c r="C423" s="64"/>
      <c r="D423" s="593" t="s">
        <v>258</v>
      </c>
      <c r="E423" s="594"/>
      <c r="F423" s="595">
        <v>0</v>
      </c>
      <c r="G423" s="540">
        <v>0</v>
      </c>
      <c r="H423" s="555">
        <f t="shared" si="191"/>
        <v>0</v>
      </c>
      <c r="J423" s="626" t="s">
        <v>564</v>
      </c>
      <c r="K423" s="627">
        <f t="shared" si="192"/>
        <v>0</v>
      </c>
      <c r="L423" s="627">
        <f t="shared" si="192"/>
        <v>0</v>
      </c>
      <c r="M423" s="627">
        <f t="shared" si="192"/>
        <v>0</v>
      </c>
      <c r="N423" s="627">
        <f t="shared" si="192"/>
        <v>0</v>
      </c>
      <c r="O423" s="627">
        <f t="shared" si="192"/>
        <v>0</v>
      </c>
      <c r="P423" s="627">
        <f t="shared" si="192"/>
        <v>0</v>
      </c>
      <c r="Q423" s="627">
        <f t="shared" si="192"/>
        <v>0</v>
      </c>
      <c r="R423" s="627">
        <f t="shared" si="192"/>
        <v>0</v>
      </c>
      <c r="S423" s="627">
        <f t="shared" si="192"/>
        <v>0</v>
      </c>
      <c r="T423" s="627">
        <f t="shared" si="192"/>
        <v>0</v>
      </c>
      <c r="U423" s="627">
        <f t="shared" si="192"/>
        <v>0</v>
      </c>
      <c r="V423" s="627">
        <f t="shared" si="192"/>
        <v>0</v>
      </c>
      <c r="W423" s="628">
        <f t="shared" si="193"/>
        <v>0</v>
      </c>
      <c r="Y423" s="287"/>
      <c r="Z423" s="287"/>
    </row>
    <row r="424" spans="3:26" s="63" customFormat="1" ht="12" outlineLevel="1" x14ac:dyDescent="0.2">
      <c r="C424" s="64"/>
      <c r="D424" s="593" t="s">
        <v>258</v>
      </c>
      <c r="E424" s="594"/>
      <c r="F424" s="595">
        <v>0</v>
      </c>
      <c r="G424" s="540">
        <v>0</v>
      </c>
      <c r="H424" s="555">
        <f t="shared" si="191"/>
        <v>0</v>
      </c>
      <c r="J424" s="626" t="s">
        <v>564</v>
      </c>
      <c r="K424" s="627">
        <f t="shared" si="192"/>
        <v>0</v>
      </c>
      <c r="L424" s="627">
        <f t="shared" si="192"/>
        <v>0</v>
      </c>
      <c r="M424" s="627">
        <f t="shared" si="192"/>
        <v>0</v>
      </c>
      <c r="N424" s="627">
        <f t="shared" si="192"/>
        <v>0</v>
      </c>
      <c r="O424" s="627">
        <f t="shared" si="192"/>
        <v>0</v>
      </c>
      <c r="P424" s="627">
        <f t="shared" si="192"/>
        <v>0</v>
      </c>
      <c r="Q424" s="627">
        <f t="shared" si="192"/>
        <v>0</v>
      </c>
      <c r="R424" s="627">
        <f t="shared" si="192"/>
        <v>0</v>
      </c>
      <c r="S424" s="627">
        <f t="shared" si="192"/>
        <v>0</v>
      </c>
      <c r="T424" s="627">
        <f t="shared" si="192"/>
        <v>0</v>
      </c>
      <c r="U424" s="627">
        <f t="shared" si="192"/>
        <v>0</v>
      </c>
      <c r="V424" s="627">
        <f t="shared" si="192"/>
        <v>0</v>
      </c>
      <c r="W424" s="628">
        <f t="shared" si="193"/>
        <v>0</v>
      </c>
      <c r="Y424" s="287"/>
      <c r="Z424" s="287"/>
    </row>
    <row r="425" spans="3:26" s="63" customFormat="1" ht="12" outlineLevel="1" x14ac:dyDescent="0.2">
      <c r="C425" s="64"/>
      <c r="D425" s="593" t="s">
        <v>258</v>
      </c>
      <c r="E425" s="594"/>
      <c r="F425" s="595">
        <v>0</v>
      </c>
      <c r="G425" s="540">
        <v>0</v>
      </c>
      <c r="H425" s="555">
        <f t="shared" si="191"/>
        <v>0</v>
      </c>
      <c r="J425" s="626" t="s">
        <v>564</v>
      </c>
      <c r="K425" s="627">
        <f t="shared" si="192"/>
        <v>0</v>
      </c>
      <c r="L425" s="627">
        <f t="shared" si="192"/>
        <v>0</v>
      </c>
      <c r="M425" s="627">
        <f t="shared" si="192"/>
        <v>0</v>
      </c>
      <c r="N425" s="627">
        <f t="shared" si="192"/>
        <v>0</v>
      </c>
      <c r="O425" s="627">
        <f t="shared" si="192"/>
        <v>0</v>
      </c>
      <c r="P425" s="627">
        <f t="shared" si="192"/>
        <v>0</v>
      </c>
      <c r="Q425" s="627">
        <f t="shared" si="192"/>
        <v>0</v>
      </c>
      <c r="R425" s="627">
        <f t="shared" si="192"/>
        <v>0</v>
      </c>
      <c r="S425" s="627">
        <f t="shared" si="192"/>
        <v>0</v>
      </c>
      <c r="T425" s="627">
        <f t="shared" si="192"/>
        <v>0</v>
      </c>
      <c r="U425" s="627">
        <f t="shared" si="192"/>
        <v>0</v>
      </c>
      <c r="V425" s="627">
        <f t="shared" si="192"/>
        <v>0</v>
      </c>
      <c r="W425" s="628">
        <f t="shared" si="193"/>
        <v>0</v>
      </c>
      <c r="Y425" s="287"/>
      <c r="Z425" s="287"/>
    </row>
    <row r="426" spans="3:26" s="63" customFormat="1" ht="3.6" customHeight="1" outlineLevel="1" thickBot="1" x14ac:dyDescent="0.25">
      <c r="C426" s="64"/>
      <c r="D426" s="294"/>
      <c r="E426" s="299"/>
      <c r="F426" s="281"/>
      <c r="G426" s="563"/>
      <c r="H426" s="556"/>
      <c r="J426" s="619"/>
      <c r="K426" s="563"/>
      <c r="L426" s="563"/>
      <c r="M426" s="563"/>
      <c r="N426" s="563"/>
      <c r="O426" s="563"/>
      <c r="P426" s="563"/>
      <c r="Q426" s="563"/>
      <c r="R426" s="563"/>
      <c r="S426" s="563"/>
      <c r="T426" s="563"/>
      <c r="U426" s="563"/>
      <c r="V426" s="563"/>
      <c r="W426" s="556"/>
      <c r="Y426" s="287"/>
      <c r="Z426" s="287"/>
    </row>
    <row r="427" spans="3:26" s="63" customFormat="1" ht="12.75" thickBot="1" x14ac:dyDescent="0.25">
      <c r="C427" s="64"/>
      <c r="D427" s="292"/>
      <c r="E427" s="298"/>
      <c r="F427" s="282" t="str">
        <f>E420</f>
        <v>Depreciation</v>
      </c>
      <c r="G427" s="564">
        <f>C420</f>
        <v>7901</v>
      </c>
      <c r="H427" s="557">
        <f>SUBTOTAL(9,H421:H426)</f>
        <v>0</v>
      </c>
      <c r="J427" s="624"/>
      <c r="K427" s="622">
        <f>SUBTOTAL(9,K421:K426)</f>
        <v>0</v>
      </c>
      <c r="L427" s="622">
        <f t="shared" ref="L427:V427" si="194">SUBTOTAL(9,L421:L426)</f>
        <v>0</v>
      </c>
      <c r="M427" s="622">
        <f t="shared" si="194"/>
        <v>0</v>
      </c>
      <c r="N427" s="622">
        <f t="shared" si="194"/>
        <v>0</v>
      </c>
      <c r="O427" s="622">
        <f t="shared" si="194"/>
        <v>0</v>
      </c>
      <c r="P427" s="622">
        <f t="shared" si="194"/>
        <v>0</v>
      </c>
      <c r="Q427" s="622">
        <f t="shared" si="194"/>
        <v>0</v>
      </c>
      <c r="R427" s="622">
        <f t="shared" si="194"/>
        <v>0</v>
      </c>
      <c r="S427" s="622">
        <f t="shared" si="194"/>
        <v>0</v>
      </c>
      <c r="T427" s="622">
        <f t="shared" si="194"/>
        <v>0</v>
      </c>
      <c r="U427" s="622">
        <f t="shared" si="194"/>
        <v>0</v>
      </c>
      <c r="V427" s="622">
        <f t="shared" si="194"/>
        <v>0</v>
      </c>
      <c r="W427" s="557">
        <f>SUBTOTAL(9,W421:W426)</f>
        <v>0</v>
      </c>
      <c r="X427" s="63" t="str">
        <f>IF(H427=W427,"OK","Error")</f>
        <v>OK</v>
      </c>
      <c r="Y427" s="287">
        <v>0</v>
      </c>
      <c r="Z427" s="287">
        <f>H427-Y427</f>
        <v>0</v>
      </c>
    </row>
    <row r="428" spans="3:26" s="63" customFormat="1" ht="12" x14ac:dyDescent="0.2">
      <c r="C428" s="64"/>
      <c r="D428" s="292"/>
      <c r="E428" s="298"/>
      <c r="F428" s="279"/>
      <c r="G428" s="561"/>
      <c r="H428" s="553"/>
      <c r="J428" s="613"/>
      <c r="K428" s="561"/>
      <c r="L428" s="561"/>
      <c r="M428" s="561"/>
      <c r="N428" s="561"/>
      <c r="O428" s="561"/>
      <c r="P428" s="561"/>
      <c r="Q428" s="561"/>
      <c r="R428" s="561"/>
      <c r="S428" s="561"/>
      <c r="T428" s="561"/>
      <c r="U428" s="561"/>
      <c r="V428" s="561"/>
      <c r="W428" s="553"/>
      <c r="Y428" s="287"/>
      <c r="Z428" s="287"/>
    </row>
    <row r="429" spans="3:26" s="63" customFormat="1" ht="12" x14ac:dyDescent="0.2">
      <c r="C429" s="64"/>
      <c r="D429" s="292"/>
      <c r="E429" s="298"/>
      <c r="F429" s="279"/>
      <c r="G429" s="561"/>
      <c r="H429" s="553"/>
      <c r="J429" s="613"/>
      <c r="K429" s="561"/>
      <c r="L429" s="561"/>
      <c r="M429" s="561"/>
      <c r="N429" s="561"/>
      <c r="O429" s="561"/>
      <c r="P429" s="561"/>
      <c r="Q429" s="561"/>
      <c r="R429" s="561"/>
      <c r="S429" s="561"/>
      <c r="T429" s="561"/>
      <c r="U429" s="561"/>
      <c r="V429" s="561"/>
      <c r="W429" s="553"/>
      <c r="Y429" s="287"/>
      <c r="Z429" s="287"/>
    </row>
    <row r="430" spans="3:26" s="63" customFormat="1" ht="12" x14ac:dyDescent="0.2">
      <c r="C430" s="64"/>
      <c r="D430" s="292"/>
      <c r="E430" s="298"/>
      <c r="F430" s="279"/>
      <c r="G430" s="561"/>
      <c r="H430" s="553"/>
      <c r="J430" s="613"/>
      <c r="K430" s="561"/>
      <c r="L430" s="561"/>
      <c r="M430" s="561"/>
      <c r="N430" s="561"/>
      <c r="O430" s="561"/>
      <c r="P430" s="561"/>
      <c r="Q430" s="561"/>
      <c r="R430" s="561"/>
      <c r="S430" s="561"/>
      <c r="T430" s="561"/>
      <c r="U430" s="561"/>
      <c r="V430" s="561"/>
      <c r="W430" s="553"/>
      <c r="Y430" s="287"/>
      <c r="Z430" s="287"/>
    </row>
    <row r="431" spans="3:26" s="63" customFormat="1" ht="12" x14ac:dyDescent="0.2">
      <c r="C431" s="64"/>
      <c r="D431" s="292"/>
      <c r="E431" s="298"/>
      <c r="F431" s="279"/>
      <c r="G431" s="561"/>
      <c r="H431" s="553"/>
      <c r="J431" s="613"/>
      <c r="K431" s="561"/>
      <c r="L431" s="561"/>
      <c r="M431" s="561"/>
      <c r="N431" s="561"/>
      <c r="O431" s="561"/>
      <c r="P431" s="561"/>
      <c r="Q431" s="561"/>
      <c r="R431" s="561"/>
      <c r="S431" s="561"/>
      <c r="T431" s="561"/>
      <c r="U431" s="561"/>
      <c r="V431" s="561"/>
      <c r="W431" s="553"/>
      <c r="Y431" s="287"/>
      <c r="Z431" s="287"/>
    </row>
    <row r="432" spans="3:26" s="63" customFormat="1" ht="12" x14ac:dyDescent="0.2">
      <c r="C432" s="64"/>
      <c r="D432" s="292"/>
      <c r="E432" s="298"/>
      <c r="F432" s="279"/>
      <c r="G432" s="561"/>
      <c r="H432" s="553"/>
      <c r="J432" s="613"/>
      <c r="K432" s="561"/>
      <c r="L432" s="561"/>
      <c r="M432" s="561"/>
      <c r="N432" s="561"/>
      <c r="O432" s="561"/>
      <c r="P432" s="561"/>
      <c r="Q432" s="561"/>
      <c r="R432" s="561"/>
      <c r="S432" s="561"/>
      <c r="T432" s="561"/>
      <c r="U432" s="561"/>
      <c r="V432" s="561"/>
      <c r="W432" s="553"/>
      <c r="Y432" s="287"/>
      <c r="Z432" s="287"/>
    </row>
    <row r="433" spans="3:26" s="63" customFormat="1" ht="12" x14ac:dyDescent="0.2">
      <c r="C433" s="64"/>
      <c r="D433" s="292"/>
      <c r="E433" s="298"/>
      <c r="F433" s="279"/>
      <c r="G433" s="561"/>
      <c r="H433" s="553"/>
      <c r="J433" s="613"/>
      <c r="K433" s="561"/>
      <c r="L433" s="561"/>
      <c r="M433" s="561"/>
      <c r="N433" s="561"/>
      <c r="O433" s="561"/>
      <c r="P433" s="561"/>
      <c r="Q433" s="561"/>
      <c r="R433" s="561"/>
      <c r="S433" s="561"/>
      <c r="T433" s="561"/>
      <c r="U433" s="561"/>
      <c r="V433" s="561"/>
      <c r="W433" s="553"/>
      <c r="Y433" s="287"/>
      <c r="Z433" s="287"/>
    </row>
    <row r="434" spans="3:26" s="63" customFormat="1" ht="12" x14ac:dyDescent="0.2">
      <c r="C434" s="64"/>
      <c r="D434" s="292"/>
      <c r="E434" s="298"/>
      <c r="F434" s="279"/>
      <c r="G434" s="561"/>
      <c r="H434" s="553"/>
      <c r="J434" s="613"/>
      <c r="K434" s="561"/>
      <c r="L434" s="561"/>
      <c r="M434" s="561"/>
      <c r="N434" s="561"/>
      <c r="O434" s="561"/>
      <c r="P434" s="561"/>
      <c r="Q434" s="561"/>
      <c r="R434" s="561"/>
      <c r="S434" s="561"/>
      <c r="T434" s="561"/>
      <c r="U434" s="561"/>
      <c r="V434" s="561"/>
      <c r="W434" s="553"/>
      <c r="Y434" s="287"/>
      <c r="Z434" s="287"/>
    </row>
    <row r="435" spans="3:26" s="63" customFormat="1" ht="12" x14ac:dyDescent="0.2">
      <c r="C435" s="64"/>
      <c r="D435" s="292"/>
      <c r="E435" s="298"/>
      <c r="F435" s="279"/>
      <c r="G435" s="561"/>
      <c r="H435" s="553"/>
      <c r="J435" s="613"/>
      <c r="K435" s="561"/>
      <c r="L435" s="561"/>
      <c r="M435" s="561"/>
      <c r="N435" s="561"/>
      <c r="O435" s="561"/>
      <c r="P435" s="561"/>
      <c r="Q435" s="561"/>
      <c r="R435" s="561"/>
      <c r="S435" s="561"/>
      <c r="T435" s="561"/>
      <c r="U435" s="561"/>
      <c r="V435" s="561"/>
      <c r="W435" s="553"/>
      <c r="Y435" s="287"/>
      <c r="Z435" s="287"/>
    </row>
    <row r="436" spans="3:26" s="63" customFormat="1" ht="12" x14ac:dyDescent="0.2">
      <c r="C436" s="64"/>
      <c r="D436" s="292"/>
      <c r="E436" s="298"/>
      <c r="F436" s="279"/>
      <c r="G436" s="561"/>
      <c r="H436" s="553"/>
      <c r="J436" s="613"/>
      <c r="K436" s="561"/>
      <c r="L436" s="561"/>
      <c r="M436" s="561"/>
      <c r="N436" s="561"/>
      <c r="O436" s="561"/>
      <c r="P436" s="561"/>
      <c r="Q436" s="561"/>
      <c r="R436" s="561"/>
      <c r="S436" s="561"/>
      <c r="T436" s="561"/>
      <c r="U436" s="561"/>
      <c r="V436" s="561"/>
      <c r="W436" s="553"/>
      <c r="Y436" s="287"/>
      <c r="Z436" s="287"/>
    </row>
    <row r="437" spans="3:26" s="63" customFormat="1" ht="12" x14ac:dyDescent="0.2">
      <c r="C437" s="64"/>
      <c r="D437" s="292"/>
      <c r="E437" s="298"/>
      <c r="F437" s="279"/>
      <c r="G437" s="561"/>
      <c r="H437" s="553"/>
      <c r="J437" s="613"/>
      <c r="K437" s="561"/>
      <c r="L437" s="561"/>
      <c r="M437" s="561"/>
      <c r="N437" s="561"/>
      <c r="O437" s="561"/>
      <c r="P437" s="561"/>
      <c r="Q437" s="561"/>
      <c r="R437" s="561"/>
      <c r="S437" s="561"/>
      <c r="T437" s="561"/>
      <c r="U437" s="561"/>
      <c r="V437" s="561"/>
      <c r="W437" s="553"/>
      <c r="Y437" s="287"/>
      <c r="Z437" s="287"/>
    </row>
    <row r="438" spans="3:26" s="63" customFormat="1" ht="12" x14ac:dyDescent="0.2">
      <c r="C438" s="64"/>
      <c r="D438" s="292"/>
      <c r="E438" s="298"/>
      <c r="F438" s="279"/>
      <c r="G438" s="561"/>
      <c r="H438" s="553"/>
      <c r="J438" s="613"/>
      <c r="K438" s="561"/>
      <c r="L438" s="561"/>
      <c r="M438" s="561"/>
      <c r="N438" s="561"/>
      <c r="O438" s="561"/>
      <c r="P438" s="561"/>
      <c r="Q438" s="561"/>
      <c r="R438" s="561"/>
      <c r="S438" s="561"/>
      <c r="T438" s="561"/>
      <c r="U438" s="561"/>
      <c r="V438" s="561"/>
      <c r="W438" s="553"/>
      <c r="Y438" s="287"/>
      <c r="Z438" s="287"/>
    </row>
    <row r="439" spans="3:26" s="63" customFormat="1" ht="12" x14ac:dyDescent="0.2">
      <c r="C439" s="64"/>
      <c r="D439" s="292"/>
      <c r="E439" s="298"/>
      <c r="F439" s="279"/>
      <c r="G439" s="561"/>
      <c r="H439" s="553"/>
      <c r="J439" s="613"/>
      <c r="K439" s="561"/>
      <c r="L439" s="561"/>
      <c r="M439" s="561"/>
      <c r="N439" s="561"/>
      <c r="O439" s="561"/>
      <c r="P439" s="561"/>
      <c r="Q439" s="561"/>
      <c r="R439" s="561"/>
      <c r="S439" s="561"/>
      <c r="T439" s="561"/>
      <c r="U439" s="561"/>
      <c r="V439" s="561"/>
      <c r="W439" s="553"/>
      <c r="Y439" s="287"/>
      <c r="Z439" s="287"/>
    </row>
    <row r="440" spans="3:26" s="63" customFormat="1" ht="12" x14ac:dyDescent="0.2">
      <c r="C440" s="64"/>
      <c r="D440" s="292"/>
      <c r="E440" s="298"/>
      <c r="F440" s="279"/>
      <c r="G440" s="561"/>
      <c r="H440" s="553"/>
      <c r="J440" s="613"/>
      <c r="K440" s="561"/>
      <c r="L440" s="561"/>
      <c r="M440" s="561"/>
      <c r="N440" s="561"/>
      <c r="O440" s="561"/>
      <c r="P440" s="561"/>
      <c r="Q440" s="561"/>
      <c r="R440" s="561"/>
      <c r="S440" s="561"/>
      <c r="T440" s="561"/>
      <c r="U440" s="561"/>
      <c r="V440" s="561"/>
      <c r="W440" s="553"/>
      <c r="Y440" s="287"/>
      <c r="Z440" s="287"/>
    </row>
    <row r="441" spans="3:26" s="63" customFormat="1" ht="12" x14ac:dyDescent="0.2">
      <c r="C441" s="64"/>
      <c r="D441" s="292"/>
      <c r="E441" s="298"/>
      <c r="F441" s="279"/>
      <c r="G441" s="561"/>
      <c r="H441" s="553"/>
      <c r="J441" s="613"/>
      <c r="K441" s="561"/>
      <c r="L441" s="561"/>
      <c r="M441" s="561"/>
      <c r="N441" s="561"/>
      <c r="O441" s="561"/>
      <c r="P441" s="561"/>
      <c r="Q441" s="561"/>
      <c r="R441" s="561"/>
      <c r="S441" s="561"/>
      <c r="T441" s="561"/>
      <c r="U441" s="561"/>
      <c r="V441" s="561"/>
      <c r="W441" s="553"/>
      <c r="Y441" s="287"/>
      <c r="Z441" s="287"/>
    </row>
    <row r="442" spans="3:26" s="63" customFormat="1" ht="12" x14ac:dyDescent="0.2">
      <c r="C442" s="64"/>
      <c r="D442" s="292"/>
      <c r="E442" s="298"/>
      <c r="F442" s="279"/>
      <c r="G442" s="561"/>
      <c r="H442" s="553"/>
      <c r="J442" s="613"/>
      <c r="K442" s="561"/>
      <c r="L442" s="561"/>
      <c r="M442" s="561"/>
      <c r="N442" s="561"/>
      <c r="O442" s="561"/>
      <c r="P442" s="561"/>
      <c r="Q442" s="561"/>
      <c r="R442" s="561"/>
      <c r="S442" s="561"/>
      <c r="T442" s="561"/>
      <c r="U442" s="561"/>
      <c r="V442" s="561"/>
      <c r="W442" s="553"/>
      <c r="Y442" s="287"/>
      <c r="Z442" s="287"/>
    </row>
    <row r="443" spans="3:26" s="63" customFormat="1" ht="12" x14ac:dyDescent="0.2">
      <c r="C443" s="64"/>
      <c r="D443" s="292"/>
      <c r="E443" s="298"/>
      <c r="F443" s="279"/>
      <c r="G443" s="561"/>
      <c r="H443" s="553"/>
      <c r="J443" s="613"/>
      <c r="K443" s="561"/>
      <c r="L443" s="561"/>
      <c r="M443" s="561"/>
      <c r="N443" s="561"/>
      <c r="O443" s="561"/>
      <c r="P443" s="561"/>
      <c r="Q443" s="561"/>
      <c r="R443" s="561"/>
      <c r="S443" s="561"/>
      <c r="T443" s="561"/>
      <c r="U443" s="561"/>
      <c r="V443" s="561"/>
      <c r="W443" s="553"/>
      <c r="Y443" s="287"/>
      <c r="Z443" s="287"/>
    </row>
    <row r="444" spans="3:26" s="63" customFormat="1" ht="12" x14ac:dyDescent="0.2">
      <c r="C444" s="64"/>
      <c r="D444" s="292"/>
      <c r="E444" s="298"/>
      <c r="F444" s="279"/>
      <c r="G444" s="561"/>
      <c r="H444" s="553"/>
      <c r="J444" s="613"/>
      <c r="K444" s="561"/>
      <c r="L444" s="561"/>
      <c r="M444" s="561"/>
      <c r="N444" s="561"/>
      <c r="O444" s="561"/>
      <c r="P444" s="561"/>
      <c r="Q444" s="561"/>
      <c r="R444" s="561"/>
      <c r="S444" s="561"/>
      <c r="T444" s="561"/>
      <c r="U444" s="561"/>
      <c r="V444" s="561"/>
      <c r="W444" s="553"/>
      <c r="Y444" s="287"/>
      <c r="Z444" s="287"/>
    </row>
    <row r="445" spans="3:26" s="63" customFormat="1" ht="12" x14ac:dyDescent="0.2">
      <c r="C445" s="64"/>
      <c r="D445" s="292"/>
      <c r="E445" s="298"/>
      <c r="F445" s="279"/>
      <c r="G445" s="561"/>
      <c r="H445" s="553"/>
      <c r="J445" s="613"/>
      <c r="K445" s="561"/>
      <c r="L445" s="561"/>
      <c r="M445" s="561"/>
      <c r="N445" s="561"/>
      <c r="O445" s="561"/>
      <c r="P445" s="561"/>
      <c r="Q445" s="561"/>
      <c r="R445" s="561"/>
      <c r="S445" s="561"/>
      <c r="T445" s="561"/>
      <c r="U445" s="561"/>
      <c r="V445" s="561"/>
      <c r="W445" s="553"/>
      <c r="Y445" s="287"/>
      <c r="Z445" s="287"/>
    </row>
    <row r="446" spans="3:26" s="63" customFormat="1" ht="12" x14ac:dyDescent="0.2">
      <c r="C446" s="64"/>
      <c r="D446" s="292"/>
      <c r="E446" s="298"/>
      <c r="F446" s="279"/>
      <c r="G446" s="561"/>
      <c r="H446" s="553"/>
      <c r="J446" s="613"/>
      <c r="K446" s="561"/>
      <c r="L446" s="561"/>
      <c r="M446" s="561"/>
      <c r="N446" s="561"/>
      <c r="O446" s="561"/>
      <c r="P446" s="561"/>
      <c r="Q446" s="561"/>
      <c r="R446" s="561"/>
      <c r="S446" s="561"/>
      <c r="T446" s="561"/>
      <c r="U446" s="561"/>
      <c r="V446" s="561"/>
      <c r="W446" s="553"/>
      <c r="Y446" s="287"/>
      <c r="Z446" s="287"/>
    </row>
    <row r="447" spans="3:26" s="63" customFormat="1" ht="12" x14ac:dyDescent="0.2">
      <c r="C447" s="64"/>
      <c r="D447" s="292"/>
      <c r="E447" s="298"/>
      <c r="F447" s="279"/>
      <c r="G447" s="561"/>
      <c r="H447" s="553"/>
      <c r="J447" s="613"/>
      <c r="K447" s="561"/>
      <c r="L447" s="561"/>
      <c r="M447" s="561"/>
      <c r="N447" s="561"/>
      <c r="O447" s="561"/>
      <c r="P447" s="561"/>
      <c r="Q447" s="561"/>
      <c r="R447" s="561"/>
      <c r="S447" s="561"/>
      <c r="T447" s="561"/>
      <c r="U447" s="561"/>
      <c r="V447" s="561"/>
      <c r="W447" s="553"/>
      <c r="Y447" s="287"/>
      <c r="Z447" s="287"/>
    </row>
    <row r="448" spans="3:26" s="63" customFormat="1" ht="12" x14ac:dyDescent="0.2">
      <c r="C448" s="64"/>
      <c r="D448" s="292"/>
      <c r="E448" s="298"/>
      <c r="F448" s="279"/>
      <c r="G448" s="561"/>
      <c r="H448" s="553"/>
      <c r="J448" s="613"/>
      <c r="K448" s="561"/>
      <c r="L448" s="561"/>
      <c r="M448" s="561"/>
      <c r="N448" s="561"/>
      <c r="O448" s="561"/>
      <c r="P448" s="561"/>
      <c r="Q448" s="561"/>
      <c r="R448" s="561"/>
      <c r="S448" s="561"/>
      <c r="T448" s="561"/>
      <c r="U448" s="561"/>
      <c r="V448" s="561"/>
      <c r="W448" s="553"/>
      <c r="Y448" s="287"/>
      <c r="Z448" s="287"/>
    </row>
    <row r="449" spans="3:26" s="63" customFormat="1" ht="12" x14ac:dyDescent="0.2">
      <c r="C449" s="64"/>
      <c r="D449" s="292"/>
      <c r="E449" s="298"/>
      <c r="F449" s="279"/>
      <c r="G449" s="561"/>
      <c r="H449" s="553"/>
      <c r="J449" s="613"/>
      <c r="K449" s="561"/>
      <c r="L449" s="561"/>
      <c r="M449" s="561"/>
      <c r="N449" s="561"/>
      <c r="O449" s="561"/>
      <c r="P449" s="561"/>
      <c r="Q449" s="561"/>
      <c r="R449" s="561"/>
      <c r="S449" s="561"/>
      <c r="T449" s="561"/>
      <c r="U449" s="561"/>
      <c r="V449" s="561"/>
      <c r="W449" s="553"/>
      <c r="Y449" s="287"/>
      <c r="Z449" s="287"/>
    </row>
    <row r="450" spans="3:26" s="63" customFormat="1" ht="12" x14ac:dyDescent="0.2">
      <c r="C450" s="64"/>
      <c r="D450" s="292"/>
      <c r="E450" s="298"/>
      <c r="F450" s="279"/>
      <c r="G450" s="561"/>
      <c r="H450" s="553"/>
      <c r="J450" s="613"/>
      <c r="K450" s="561"/>
      <c r="L450" s="561"/>
      <c r="M450" s="561"/>
      <c r="N450" s="561"/>
      <c r="O450" s="561"/>
      <c r="P450" s="561"/>
      <c r="Q450" s="561"/>
      <c r="R450" s="561"/>
      <c r="S450" s="561"/>
      <c r="T450" s="561"/>
      <c r="U450" s="561"/>
      <c r="V450" s="561"/>
      <c r="W450" s="553"/>
      <c r="Y450" s="287"/>
      <c r="Z450" s="287"/>
    </row>
    <row r="451" spans="3:26" s="63" customFormat="1" ht="12" x14ac:dyDescent="0.2">
      <c r="C451" s="64"/>
      <c r="D451" s="292"/>
      <c r="E451" s="298"/>
      <c r="F451" s="279"/>
      <c r="G451" s="561"/>
      <c r="H451" s="553"/>
      <c r="J451" s="613"/>
      <c r="K451" s="561"/>
      <c r="L451" s="561"/>
      <c r="M451" s="561"/>
      <c r="N451" s="561"/>
      <c r="O451" s="561"/>
      <c r="P451" s="561"/>
      <c r="Q451" s="561"/>
      <c r="R451" s="561"/>
      <c r="S451" s="561"/>
      <c r="T451" s="561"/>
      <c r="U451" s="561"/>
      <c r="V451" s="561"/>
      <c r="W451" s="553"/>
      <c r="Y451" s="287"/>
      <c r="Z451" s="287"/>
    </row>
    <row r="452" spans="3:26" s="63" customFormat="1" ht="12" x14ac:dyDescent="0.2">
      <c r="C452" s="64"/>
      <c r="D452" s="292"/>
      <c r="E452" s="298"/>
      <c r="F452" s="279"/>
      <c r="G452" s="561"/>
      <c r="H452" s="553"/>
      <c r="J452" s="613"/>
      <c r="K452" s="561"/>
      <c r="L452" s="561"/>
      <c r="M452" s="561"/>
      <c r="N452" s="561"/>
      <c r="O452" s="561"/>
      <c r="P452" s="561"/>
      <c r="Q452" s="561"/>
      <c r="R452" s="561"/>
      <c r="S452" s="561"/>
      <c r="T452" s="561"/>
      <c r="U452" s="561"/>
      <c r="V452" s="561"/>
      <c r="W452" s="553"/>
      <c r="Y452" s="287"/>
      <c r="Z452" s="287"/>
    </row>
    <row r="453" spans="3:26" s="63" customFormat="1" ht="12" x14ac:dyDescent="0.2">
      <c r="C453" s="64"/>
      <c r="D453" s="292"/>
      <c r="E453" s="298"/>
      <c r="F453" s="279"/>
      <c r="G453" s="561"/>
      <c r="H453" s="553"/>
      <c r="J453" s="613"/>
      <c r="K453" s="561"/>
      <c r="L453" s="561"/>
      <c r="M453" s="561"/>
      <c r="N453" s="561"/>
      <c r="O453" s="561"/>
      <c r="P453" s="561"/>
      <c r="Q453" s="561"/>
      <c r="R453" s="561"/>
      <c r="S453" s="561"/>
      <c r="T453" s="561"/>
      <c r="U453" s="561"/>
      <c r="V453" s="561"/>
      <c r="W453" s="553"/>
      <c r="Y453" s="287"/>
      <c r="Z453" s="287"/>
    </row>
    <row r="454" spans="3:26" s="63" customFormat="1" ht="12" x14ac:dyDescent="0.2">
      <c r="C454" s="64"/>
      <c r="D454" s="292"/>
      <c r="E454" s="298"/>
      <c r="F454" s="279"/>
      <c r="G454" s="561"/>
      <c r="H454" s="553"/>
      <c r="J454" s="613"/>
      <c r="K454" s="561"/>
      <c r="L454" s="561"/>
      <c r="M454" s="561"/>
      <c r="N454" s="561"/>
      <c r="O454" s="561"/>
      <c r="P454" s="561"/>
      <c r="Q454" s="561"/>
      <c r="R454" s="561"/>
      <c r="S454" s="561"/>
      <c r="T454" s="561"/>
      <c r="U454" s="561"/>
      <c r="V454" s="561"/>
      <c r="W454" s="553"/>
      <c r="Y454" s="287"/>
      <c r="Z454" s="287"/>
    </row>
    <row r="455" spans="3:26" s="63" customFormat="1" ht="12" x14ac:dyDescent="0.2">
      <c r="C455" s="64"/>
      <c r="D455" s="292"/>
      <c r="E455" s="298"/>
      <c r="F455" s="279"/>
      <c r="G455" s="561"/>
      <c r="H455" s="553"/>
      <c r="J455" s="613"/>
      <c r="K455" s="561"/>
      <c r="L455" s="561"/>
      <c r="M455" s="561"/>
      <c r="N455" s="561"/>
      <c r="O455" s="561"/>
      <c r="P455" s="561"/>
      <c r="Q455" s="561"/>
      <c r="R455" s="561"/>
      <c r="S455" s="561"/>
      <c r="T455" s="561"/>
      <c r="U455" s="561"/>
      <c r="V455" s="561"/>
      <c r="W455" s="553"/>
      <c r="Y455" s="287"/>
      <c r="Z455" s="287"/>
    </row>
    <row r="456" spans="3:26" s="63" customFormat="1" ht="12" x14ac:dyDescent="0.2">
      <c r="C456" s="64"/>
      <c r="D456" s="292"/>
      <c r="E456" s="298"/>
      <c r="F456" s="279"/>
      <c r="G456" s="561"/>
      <c r="H456" s="553"/>
      <c r="J456" s="613"/>
      <c r="K456" s="561"/>
      <c r="L456" s="561"/>
      <c r="M456" s="561"/>
      <c r="N456" s="561"/>
      <c r="O456" s="561"/>
      <c r="P456" s="561"/>
      <c r="Q456" s="561"/>
      <c r="R456" s="561"/>
      <c r="S456" s="561"/>
      <c r="T456" s="561"/>
      <c r="U456" s="561"/>
      <c r="V456" s="561"/>
      <c r="W456" s="553"/>
      <c r="Y456" s="287"/>
      <c r="Z456" s="287"/>
    </row>
    <row r="457" spans="3:26" s="63" customFormat="1" ht="12" x14ac:dyDescent="0.2">
      <c r="C457" s="64"/>
      <c r="D457" s="292"/>
      <c r="E457" s="298"/>
      <c r="F457" s="279"/>
      <c r="G457" s="561"/>
      <c r="H457" s="553"/>
      <c r="J457" s="613"/>
      <c r="K457" s="561"/>
      <c r="L457" s="561"/>
      <c r="M457" s="561"/>
      <c r="N457" s="561"/>
      <c r="O457" s="561"/>
      <c r="P457" s="561"/>
      <c r="Q457" s="561"/>
      <c r="R457" s="561"/>
      <c r="S457" s="561"/>
      <c r="T457" s="561"/>
      <c r="U457" s="561"/>
      <c r="V457" s="561"/>
      <c r="W457" s="553"/>
      <c r="Y457" s="287"/>
      <c r="Z457" s="287"/>
    </row>
    <row r="458" spans="3:26" s="63" customFormat="1" ht="12" x14ac:dyDescent="0.2">
      <c r="C458" s="64"/>
      <c r="D458" s="292"/>
      <c r="E458" s="298"/>
      <c r="F458" s="279"/>
      <c r="G458" s="561"/>
      <c r="H458" s="553"/>
      <c r="J458" s="613"/>
      <c r="K458" s="561"/>
      <c r="L458" s="561"/>
      <c r="M458" s="561"/>
      <c r="N458" s="561"/>
      <c r="O458" s="561"/>
      <c r="P458" s="561"/>
      <c r="Q458" s="561"/>
      <c r="R458" s="561"/>
      <c r="S458" s="561"/>
      <c r="T458" s="561"/>
      <c r="U458" s="561"/>
      <c r="V458" s="561"/>
      <c r="W458" s="553"/>
      <c r="Y458" s="287"/>
      <c r="Z458" s="287"/>
    </row>
    <row r="459" spans="3:26" s="63" customFormat="1" ht="12" x14ac:dyDescent="0.2">
      <c r="C459" s="64"/>
      <c r="D459" s="292"/>
      <c r="E459" s="298"/>
      <c r="F459" s="279"/>
      <c r="G459" s="561"/>
      <c r="H459" s="553"/>
      <c r="J459" s="613"/>
      <c r="K459" s="561"/>
      <c r="L459" s="561"/>
      <c r="M459" s="561"/>
      <c r="N459" s="561"/>
      <c r="O459" s="561"/>
      <c r="P459" s="561"/>
      <c r="Q459" s="561"/>
      <c r="R459" s="561"/>
      <c r="S459" s="561"/>
      <c r="T459" s="561"/>
      <c r="U459" s="561"/>
      <c r="V459" s="561"/>
      <c r="W459" s="553"/>
      <c r="Y459" s="287"/>
      <c r="Z459" s="287"/>
    </row>
    <row r="460" spans="3:26" s="63" customFormat="1" ht="12" x14ac:dyDescent="0.2">
      <c r="C460" s="64"/>
      <c r="D460" s="292"/>
      <c r="E460" s="298"/>
      <c r="F460" s="279"/>
      <c r="G460" s="561"/>
      <c r="H460" s="553"/>
      <c r="J460" s="613"/>
      <c r="K460" s="561"/>
      <c r="L460" s="561"/>
      <c r="M460" s="561"/>
      <c r="N460" s="561"/>
      <c r="O460" s="561"/>
      <c r="P460" s="561"/>
      <c r="Q460" s="561"/>
      <c r="R460" s="561"/>
      <c r="S460" s="561"/>
      <c r="T460" s="561"/>
      <c r="U460" s="561"/>
      <c r="V460" s="561"/>
      <c r="W460" s="553"/>
      <c r="Y460" s="287"/>
      <c r="Z460" s="287"/>
    </row>
    <row r="461" spans="3:26" s="63" customFormat="1" ht="12" x14ac:dyDescent="0.2">
      <c r="C461" s="64"/>
      <c r="D461" s="292"/>
      <c r="E461" s="298"/>
      <c r="F461" s="279"/>
      <c r="G461" s="561"/>
      <c r="H461" s="553"/>
      <c r="J461" s="613"/>
      <c r="K461" s="561"/>
      <c r="L461" s="561"/>
      <c r="M461" s="561"/>
      <c r="N461" s="561"/>
      <c r="O461" s="561"/>
      <c r="P461" s="561"/>
      <c r="Q461" s="561"/>
      <c r="R461" s="561"/>
      <c r="S461" s="561"/>
      <c r="T461" s="561"/>
      <c r="U461" s="561"/>
      <c r="V461" s="561"/>
      <c r="W461" s="553"/>
      <c r="Y461" s="287"/>
      <c r="Z461" s="287"/>
    </row>
    <row r="462" spans="3:26" s="63" customFormat="1" ht="12" x14ac:dyDescent="0.2">
      <c r="C462" s="64"/>
      <c r="D462" s="292"/>
      <c r="E462" s="298"/>
      <c r="F462" s="279"/>
      <c r="G462" s="561"/>
      <c r="H462" s="553"/>
      <c r="J462" s="613"/>
      <c r="K462" s="561"/>
      <c r="L462" s="561"/>
      <c r="M462" s="561"/>
      <c r="N462" s="561"/>
      <c r="O462" s="561"/>
      <c r="P462" s="561"/>
      <c r="Q462" s="561"/>
      <c r="R462" s="561"/>
      <c r="S462" s="561"/>
      <c r="T462" s="561"/>
      <c r="U462" s="561"/>
      <c r="V462" s="561"/>
      <c r="W462" s="553"/>
      <c r="Y462" s="287"/>
      <c r="Z462" s="287"/>
    </row>
    <row r="463" spans="3:26" s="63" customFormat="1" ht="12" x14ac:dyDescent="0.2">
      <c r="C463" s="64"/>
      <c r="D463" s="292"/>
      <c r="E463" s="298"/>
      <c r="F463" s="279"/>
      <c r="G463" s="561"/>
      <c r="H463" s="553"/>
      <c r="J463" s="613"/>
      <c r="K463" s="561"/>
      <c r="L463" s="561"/>
      <c r="M463" s="561"/>
      <c r="N463" s="561"/>
      <c r="O463" s="561"/>
      <c r="P463" s="561"/>
      <c r="Q463" s="561"/>
      <c r="R463" s="561"/>
      <c r="S463" s="561"/>
      <c r="T463" s="561"/>
      <c r="U463" s="561"/>
      <c r="V463" s="561"/>
      <c r="W463" s="553"/>
      <c r="Y463" s="287"/>
      <c r="Z463" s="287"/>
    </row>
    <row r="464" spans="3:26" s="63" customFormat="1" ht="12" x14ac:dyDescent="0.2">
      <c r="C464" s="64"/>
      <c r="D464" s="292"/>
      <c r="E464" s="298"/>
      <c r="F464" s="279"/>
      <c r="G464" s="561"/>
      <c r="H464" s="553"/>
      <c r="J464" s="613"/>
      <c r="K464" s="561"/>
      <c r="L464" s="561"/>
      <c r="M464" s="561"/>
      <c r="N464" s="561"/>
      <c r="O464" s="561"/>
      <c r="P464" s="561"/>
      <c r="Q464" s="561"/>
      <c r="R464" s="561"/>
      <c r="S464" s="561"/>
      <c r="T464" s="561"/>
      <c r="U464" s="561"/>
      <c r="V464" s="561"/>
      <c r="W464" s="553"/>
      <c r="Y464" s="287"/>
      <c r="Z464" s="287"/>
    </row>
    <row r="465" spans="3:26" s="63" customFormat="1" ht="12" x14ac:dyDescent="0.2">
      <c r="C465" s="64"/>
      <c r="D465" s="292"/>
      <c r="E465" s="298"/>
      <c r="F465" s="279"/>
      <c r="G465" s="561"/>
      <c r="H465" s="553"/>
      <c r="J465" s="613"/>
      <c r="K465" s="561"/>
      <c r="L465" s="561"/>
      <c r="M465" s="561"/>
      <c r="N465" s="561"/>
      <c r="O465" s="561"/>
      <c r="P465" s="561"/>
      <c r="Q465" s="561"/>
      <c r="R465" s="561"/>
      <c r="S465" s="561"/>
      <c r="T465" s="561"/>
      <c r="U465" s="561"/>
      <c r="V465" s="561"/>
      <c r="W465" s="553"/>
      <c r="Y465" s="287"/>
      <c r="Z465" s="287"/>
    </row>
    <row r="466" spans="3:26" s="63" customFormat="1" ht="12" x14ac:dyDescent="0.2">
      <c r="C466" s="64"/>
      <c r="D466" s="292"/>
      <c r="E466" s="298"/>
      <c r="F466" s="279"/>
      <c r="G466" s="561"/>
      <c r="H466" s="553"/>
      <c r="J466" s="613"/>
      <c r="K466" s="561"/>
      <c r="L466" s="561"/>
      <c r="M466" s="561"/>
      <c r="N466" s="561"/>
      <c r="O466" s="561"/>
      <c r="P466" s="561"/>
      <c r="Q466" s="561"/>
      <c r="R466" s="561"/>
      <c r="S466" s="561"/>
      <c r="T466" s="561"/>
      <c r="U466" s="561"/>
      <c r="V466" s="561"/>
      <c r="W466" s="553"/>
      <c r="Y466" s="287"/>
      <c r="Z466" s="287"/>
    </row>
    <row r="467" spans="3:26" s="63" customFormat="1" ht="12" x14ac:dyDescent="0.2">
      <c r="C467" s="64"/>
      <c r="D467" s="292"/>
      <c r="E467" s="298"/>
      <c r="F467" s="279"/>
      <c r="G467" s="561"/>
      <c r="H467" s="553"/>
      <c r="J467" s="613"/>
      <c r="K467" s="561"/>
      <c r="L467" s="561"/>
      <c r="M467" s="561"/>
      <c r="N467" s="561"/>
      <c r="O467" s="561"/>
      <c r="P467" s="561"/>
      <c r="Q467" s="561"/>
      <c r="R467" s="561"/>
      <c r="S467" s="561"/>
      <c r="T467" s="561"/>
      <c r="U467" s="561"/>
      <c r="V467" s="561"/>
      <c r="W467" s="553"/>
      <c r="Y467" s="287"/>
      <c r="Z467" s="287"/>
    </row>
    <row r="468" spans="3:26" s="63" customFormat="1" ht="12" x14ac:dyDescent="0.2">
      <c r="C468" s="64"/>
      <c r="D468" s="292"/>
      <c r="E468" s="298"/>
      <c r="F468" s="279"/>
      <c r="G468" s="561"/>
      <c r="H468" s="553"/>
      <c r="J468" s="613"/>
      <c r="K468" s="561"/>
      <c r="L468" s="561"/>
      <c r="M468" s="561"/>
      <c r="N468" s="561"/>
      <c r="O468" s="561"/>
      <c r="P468" s="561"/>
      <c r="Q468" s="561"/>
      <c r="R468" s="561"/>
      <c r="S468" s="561"/>
      <c r="T468" s="561"/>
      <c r="U468" s="561"/>
      <c r="V468" s="561"/>
      <c r="W468" s="553"/>
      <c r="Y468" s="287"/>
      <c r="Z468" s="287"/>
    </row>
    <row r="469" spans="3:26" s="63" customFormat="1" ht="12" x14ac:dyDescent="0.2">
      <c r="C469" s="64"/>
      <c r="D469" s="292"/>
      <c r="E469" s="298"/>
      <c r="F469" s="279"/>
      <c r="G469" s="561"/>
      <c r="H469" s="553"/>
      <c r="J469" s="613"/>
      <c r="K469" s="561"/>
      <c r="L469" s="561"/>
      <c r="M469" s="561"/>
      <c r="N469" s="561"/>
      <c r="O469" s="561"/>
      <c r="P469" s="561"/>
      <c r="Q469" s="561"/>
      <c r="R469" s="561"/>
      <c r="S469" s="561"/>
      <c r="T469" s="561"/>
      <c r="U469" s="561"/>
      <c r="V469" s="561"/>
      <c r="W469" s="553"/>
      <c r="Y469" s="287"/>
      <c r="Z469" s="287"/>
    </row>
    <row r="470" spans="3:26" s="63" customFormat="1" ht="12" x14ac:dyDescent="0.2">
      <c r="C470" s="64"/>
      <c r="D470" s="292"/>
      <c r="E470" s="298"/>
      <c r="F470" s="279"/>
      <c r="G470" s="561"/>
      <c r="H470" s="553"/>
      <c r="J470" s="613"/>
      <c r="K470" s="561"/>
      <c r="L470" s="561"/>
      <c r="M470" s="561"/>
      <c r="N470" s="561"/>
      <c r="O470" s="561"/>
      <c r="P470" s="561"/>
      <c r="Q470" s="561"/>
      <c r="R470" s="561"/>
      <c r="S470" s="561"/>
      <c r="T470" s="561"/>
      <c r="U470" s="561"/>
      <c r="V470" s="561"/>
      <c r="W470" s="553"/>
      <c r="Y470" s="287"/>
      <c r="Z470" s="287"/>
    </row>
    <row r="471" spans="3:26" s="63" customFormat="1" ht="12" x14ac:dyDescent="0.2">
      <c r="C471" s="64"/>
      <c r="D471" s="292"/>
      <c r="E471" s="298"/>
      <c r="F471" s="279"/>
      <c r="G471" s="561"/>
      <c r="H471" s="553"/>
      <c r="J471" s="613"/>
      <c r="K471" s="561"/>
      <c r="L471" s="561"/>
      <c r="M471" s="561"/>
      <c r="N471" s="561"/>
      <c r="O471" s="561"/>
      <c r="P471" s="561"/>
      <c r="Q471" s="561"/>
      <c r="R471" s="561"/>
      <c r="S471" s="561"/>
      <c r="T471" s="561"/>
      <c r="U471" s="561"/>
      <c r="V471" s="561"/>
      <c r="W471" s="553"/>
      <c r="Y471" s="287"/>
      <c r="Z471" s="287"/>
    </row>
    <row r="472" spans="3:26" s="63" customFormat="1" ht="12" x14ac:dyDescent="0.2">
      <c r="C472" s="64"/>
      <c r="D472" s="292"/>
      <c r="E472" s="298"/>
      <c r="F472" s="279"/>
      <c r="G472" s="561"/>
      <c r="H472" s="553"/>
      <c r="J472" s="613"/>
      <c r="K472" s="561"/>
      <c r="L472" s="561"/>
      <c r="M472" s="561"/>
      <c r="N472" s="561"/>
      <c r="O472" s="561"/>
      <c r="P472" s="561"/>
      <c r="Q472" s="561"/>
      <c r="R472" s="561"/>
      <c r="S472" s="561"/>
      <c r="T472" s="561"/>
      <c r="U472" s="561"/>
      <c r="V472" s="561"/>
      <c r="W472" s="553"/>
      <c r="Y472" s="287"/>
      <c r="Z472" s="287"/>
    </row>
    <row r="473" spans="3:26" s="63" customFormat="1" ht="12" x14ac:dyDescent="0.2">
      <c r="C473" s="64"/>
      <c r="D473" s="292"/>
      <c r="E473" s="298"/>
      <c r="F473" s="279"/>
      <c r="G473" s="561"/>
      <c r="H473" s="553"/>
      <c r="J473" s="613"/>
      <c r="K473" s="561"/>
      <c r="L473" s="561"/>
      <c r="M473" s="561"/>
      <c r="N473" s="561"/>
      <c r="O473" s="561"/>
      <c r="P473" s="561"/>
      <c r="Q473" s="561"/>
      <c r="R473" s="561"/>
      <c r="S473" s="561"/>
      <c r="T473" s="561"/>
      <c r="U473" s="561"/>
      <c r="V473" s="561"/>
      <c r="W473" s="553"/>
      <c r="Y473" s="287"/>
      <c r="Z473" s="287"/>
    </row>
    <row r="474" spans="3:26" s="63" customFormat="1" ht="12" x14ac:dyDescent="0.2">
      <c r="C474" s="64"/>
      <c r="D474" s="292"/>
      <c r="E474" s="298"/>
      <c r="F474" s="279"/>
      <c r="G474" s="561"/>
      <c r="H474" s="553"/>
      <c r="J474" s="613"/>
      <c r="K474" s="561"/>
      <c r="L474" s="561"/>
      <c r="M474" s="561"/>
      <c r="N474" s="561"/>
      <c r="O474" s="561"/>
      <c r="P474" s="561"/>
      <c r="Q474" s="561"/>
      <c r="R474" s="561"/>
      <c r="S474" s="561"/>
      <c r="T474" s="561"/>
      <c r="U474" s="561"/>
      <c r="V474" s="561"/>
      <c r="W474" s="553"/>
      <c r="Y474" s="287"/>
      <c r="Z474" s="287"/>
    </row>
    <row r="475" spans="3:26" s="63" customFormat="1" ht="12" x14ac:dyDescent="0.2">
      <c r="C475" s="64"/>
      <c r="D475" s="292"/>
      <c r="E475" s="298"/>
      <c r="F475" s="279"/>
      <c r="G475" s="561"/>
      <c r="H475" s="553"/>
      <c r="J475" s="613"/>
      <c r="K475" s="561"/>
      <c r="L475" s="561"/>
      <c r="M475" s="561"/>
      <c r="N475" s="561"/>
      <c r="O475" s="561"/>
      <c r="P475" s="561"/>
      <c r="Q475" s="561"/>
      <c r="R475" s="561"/>
      <c r="S475" s="561"/>
      <c r="T475" s="561"/>
      <c r="U475" s="561"/>
      <c r="V475" s="561"/>
      <c r="W475" s="553"/>
      <c r="Y475" s="287"/>
      <c r="Z475" s="287"/>
    </row>
    <row r="476" spans="3:26" s="63" customFormat="1" ht="12" x14ac:dyDescent="0.2">
      <c r="C476" s="64"/>
      <c r="D476" s="292"/>
      <c r="E476" s="298"/>
      <c r="F476" s="279"/>
      <c r="G476" s="561"/>
      <c r="H476" s="553"/>
      <c r="J476" s="613"/>
      <c r="K476" s="561"/>
      <c r="L476" s="561"/>
      <c r="M476" s="561"/>
      <c r="N476" s="561"/>
      <c r="O476" s="561"/>
      <c r="P476" s="561"/>
      <c r="Q476" s="561"/>
      <c r="R476" s="561"/>
      <c r="S476" s="561"/>
      <c r="T476" s="561"/>
      <c r="U476" s="561"/>
      <c r="V476" s="561"/>
      <c r="W476" s="553"/>
      <c r="Y476" s="287"/>
      <c r="Z476" s="287"/>
    </row>
    <row r="477" spans="3:26" s="63" customFormat="1" ht="12" x14ac:dyDescent="0.2">
      <c r="C477" s="64"/>
      <c r="D477" s="292"/>
      <c r="E477" s="298"/>
      <c r="F477" s="279"/>
      <c r="G477" s="561"/>
      <c r="H477" s="553"/>
      <c r="J477" s="613"/>
      <c r="K477" s="561"/>
      <c r="L477" s="561"/>
      <c r="M477" s="561"/>
      <c r="N477" s="561"/>
      <c r="O477" s="561"/>
      <c r="P477" s="561"/>
      <c r="Q477" s="561"/>
      <c r="R477" s="561"/>
      <c r="S477" s="561"/>
      <c r="T477" s="561"/>
      <c r="U477" s="561"/>
      <c r="V477" s="561"/>
      <c r="W477" s="553"/>
      <c r="Y477" s="287"/>
      <c r="Z477" s="287"/>
    </row>
    <row r="478" spans="3:26" s="63" customFormat="1" ht="12" x14ac:dyDescent="0.2">
      <c r="C478" s="64"/>
      <c r="D478" s="292"/>
      <c r="E478" s="298"/>
      <c r="F478" s="279"/>
      <c r="G478" s="561"/>
      <c r="H478" s="553"/>
      <c r="J478" s="613"/>
      <c r="K478" s="561"/>
      <c r="L478" s="561"/>
      <c r="M478" s="561"/>
      <c r="N478" s="561"/>
      <c r="O478" s="561"/>
      <c r="P478" s="561"/>
      <c r="Q478" s="561"/>
      <c r="R478" s="561"/>
      <c r="S478" s="561"/>
      <c r="T478" s="561"/>
      <c r="U478" s="561"/>
      <c r="V478" s="561"/>
      <c r="W478" s="553"/>
      <c r="Y478" s="287"/>
      <c r="Z478" s="287"/>
    </row>
    <row r="479" spans="3:26" s="63" customFormat="1" ht="12" x14ac:dyDescent="0.2">
      <c r="C479" s="64"/>
      <c r="D479" s="292"/>
      <c r="E479" s="298"/>
      <c r="F479" s="279"/>
      <c r="G479" s="561"/>
      <c r="H479" s="553"/>
      <c r="J479" s="613"/>
      <c r="K479" s="561"/>
      <c r="L479" s="561"/>
      <c r="M479" s="561"/>
      <c r="N479" s="561"/>
      <c r="O479" s="561"/>
      <c r="P479" s="561"/>
      <c r="Q479" s="561"/>
      <c r="R479" s="561"/>
      <c r="S479" s="561"/>
      <c r="T479" s="561"/>
      <c r="U479" s="561"/>
      <c r="V479" s="561"/>
      <c r="W479" s="553"/>
      <c r="Y479" s="287"/>
      <c r="Z479" s="287"/>
    </row>
    <row r="480" spans="3:26" s="63" customFormat="1" ht="12" x14ac:dyDescent="0.2">
      <c r="C480" s="64"/>
      <c r="D480" s="292"/>
      <c r="E480" s="298"/>
      <c r="F480" s="279"/>
      <c r="G480" s="561"/>
      <c r="H480" s="553"/>
      <c r="J480" s="613"/>
      <c r="K480" s="561"/>
      <c r="L480" s="561"/>
      <c r="M480" s="561"/>
      <c r="N480" s="561"/>
      <c r="O480" s="561"/>
      <c r="P480" s="561"/>
      <c r="Q480" s="561"/>
      <c r="R480" s="561"/>
      <c r="S480" s="561"/>
      <c r="T480" s="561"/>
      <c r="U480" s="561"/>
      <c r="V480" s="561"/>
      <c r="W480" s="553"/>
      <c r="Y480" s="287"/>
      <c r="Z480" s="287"/>
    </row>
    <row r="481" spans="3:26" s="63" customFormat="1" ht="12" x14ac:dyDescent="0.2">
      <c r="C481" s="64"/>
      <c r="D481" s="292"/>
      <c r="E481" s="298"/>
      <c r="F481" s="279"/>
      <c r="G481" s="561"/>
      <c r="H481" s="553"/>
      <c r="J481" s="613"/>
      <c r="K481" s="561"/>
      <c r="L481" s="561"/>
      <c r="M481" s="561"/>
      <c r="N481" s="561"/>
      <c r="O481" s="561"/>
      <c r="P481" s="561"/>
      <c r="Q481" s="561"/>
      <c r="R481" s="561"/>
      <c r="S481" s="561"/>
      <c r="T481" s="561"/>
      <c r="U481" s="561"/>
      <c r="V481" s="561"/>
      <c r="W481" s="553"/>
      <c r="Y481" s="287"/>
      <c r="Z481" s="287"/>
    </row>
    <row r="482" spans="3:26" s="63" customFormat="1" ht="12" x14ac:dyDescent="0.2">
      <c r="C482" s="64"/>
      <c r="D482" s="292"/>
      <c r="E482" s="298"/>
      <c r="F482" s="279"/>
      <c r="G482" s="561"/>
      <c r="H482" s="553"/>
      <c r="J482" s="613"/>
      <c r="K482" s="561"/>
      <c r="L482" s="561"/>
      <c r="M482" s="561"/>
      <c r="N482" s="561"/>
      <c r="O482" s="561"/>
      <c r="P482" s="561"/>
      <c r="Q482" s="561"/>
      <c r="R482" s="561"/>
      <c r="S482" s="561"/>
      <c r="T482" s="561"/>
      <c r="U482" s="561"/>
      <c r="V482" s="561"/>
      <c r="W482" s="553"/>
      <c r="Y482" s="287"/>
      <c r="Z482" s="287"/>
    </row>
    <row r="483" spans="3:26" s="63" customFormat="1" ht="12" x14ac:dyDescent="0.2">
      <c r="C483" s="64"/>
      <c r="D483" s="292"/>
      <c r="E483" s="298"/>
      <c r="F483" s="279"/>
      <c r="G483" s="561"/>
      <c r="H483" s="553"/>
      <c r="J483" s="613"/>
      <c r="K483" s="561"/>
      <c r="L483" s="561"/>
      <c r="M483" s="561"/>
      <c r="N483" s="561"/>
      <c r="O483" s="561"/>
      <c r="P483" s="561"/>
      <c r="Q483" s="561"/>
      <c r="R483" s="561"/>
      <c r="S483" s="561"/>
      <c r="T483" s="561"/>
      <c r="U483" s="561"/>
      <c r="V483" s="561"/>
      <c r="W483" s="553"/>
      <c r="Y483" s="287"/>
      <c r="Z483" s="287"/>
    </row>
    <row r="484" spans="3:26" s="63" customFormat="1" ht="12" x14ac:dyDescent="0.2">
      <c r="C484" s="64"/>
      <c r="D484" s="292"/>
      <c r="E484" s="298"/>
      <c r="F484" s="279"/>
      <c r="G484" s="561"/>
      <c r="H484" s="553"/>
      <c r="J484" s="613"/>
      <c r="K484" s="561"/>
      <c r="L484" s="561"/>
      <c r="M484" s="561"/>
      <c r="N484" s="561"/>
      <c r="O484" s="561"/>
      <c r="P484" s="561"/>
      <c r="Q484" s="561"/>
      <c r="R484" s="561"/>
      <c r="S484" s="561"/>
      <c r="T484" s="561"/>
      <c r="U484" s="561"/>
      <c r="V484" s="561"/>
      <c r="W484" s="553"/>
      <c r="Y484" s="287"/>
      <c r="Z484" s="287"/>
    </row>
    <row r="485" spans="3:26" s="63" customFormat="1" ht="12" x14ac:dyDescent="0.2">
      <c r="C485" s="64"/>
      <c r="D485" s="292"/>
      <c r="E485" s="298"/>
      <c r="F485" s="279"/>
      <c r="G485" s="561"/>
      <c r="H485" s="553"/>
      <c r="J485" s="613"/>
      <c r="K485" s="561"/>
      <c r="L485" s="561"/>
      <c r="M485" s="561"/>
      <c r="N485" s="561"/>
      <c r="O485" s="561"/>
      <c r="P485" s="561"/>
      <c r="Q485" s="561"/>
      <c r="R485" s="561"/>
      <c r="S485" s="561"/>
      <c r="T485" s="561"/>
      <c r="U485" s="561"/>
      <c r="V485" s="561"/>
      <c r="W485" s="553"/>
      <c r="Y485" s="287"/>
      <c r="Z485" s="287"/>
    </row>
    <row r="486" spans="3:26" s="63" customFormat="1" ht="12" x14ac:dyDescent="0.2">
      <c r="C486" s="64"/>
      <c r="D486" s="292"/>
      <c r="E486" s="298"/>
      <c r="F486" s="279"/>
      <c r="G486" s="561"/>
      <c r="H486" s="553"/>
      <c r="J486" s="613"/>
      <c r="K486" s="561"/>
      <c r="L486" s="561"/>
      <c r="M486" s="561"/>
      <c r="N486" s="561"/>
      <c r="O486" s="561"/>
      <c r="P486" s="561"/>
      <c r="Q486" s="561"/>
      <c r="R486" s="561"/>
      <c r="S486" s="561"/>
      <c r="T486" s="561"/>
      <c r="U486" s="561"/>
      <c r="V486" s="561"/>
      <c r="W486" s="553"/>
      <c r="Y486" s="287"/>
      <c r="Z486" s="287"/>
    </row>
    <row r="487" spans="3:26" s="63" customFormat="1" ht="12" x14ac:dyDescent="0.2">
      <c r="C487" s="64"/>
      <c r="D487" s="292"/>
      <c r="E487" s="298"/>
      <c r="F487" s="279"/>
      <c r="G487" s="561"/>
      <c r="H487" s="553"/>
      <c r="J487" s="613"/>
      <c r="K487" s="561"/>
      <c r="L487" s="561"/>
      <c r="M487" s="561"/>
      <c r="N487" s="561"/>
      <c r="O487" s="561"/>
      <c r="P487" s="561"/>
      <c r="Q487" s="561"/>
      <c r="R487" s="561"/>
      <c r="S487" s="561"/>
      <c r="T487" s="561"/>
      <c r="U487" s="561"/>
      <c r="V487" s="561"/>
      <c r="W487" s="553"/>
      <c r="Y487" s="287"/>
      <c r="Z487" s="287"/>
    </row>
    <row r="488" spans="3:26" s="63" customFormat="1" ht="12" x14ac:dyDescent="0.2">
      <c r="C488" s="64"/>
      <c r="D488" s="292"/>
      <c r="E488" s="298"/>
      <c r="F488" s="279"/>
      <c r="G488" s="561"/>
      <c r="H488" s="553"/>
      <c r="J488" s="613"/>
      <c r="K488" s="561"/>
      <c r="L488" s="561"/>
      <c r="M488" s="561"/>
      <c r="N488" s="561"/>
      <c r="O488" s="561"/>
      <c r="P488" s="561"/>
      <c r="Q488" s="561"/>
      <c r="R488" s="561"/>
      <c r="S488" s="561"/>
      <c r="T488" s="561"/>
      <c r="U488" s="561"/>
      <c r="V488" s="561"/>
      <c r="W488" s="553"/>
      <c r="Y488" s="287"/>
      <c r="Z488" s="287"/>
    </row>
    <row r="489" spans="3:26" s="63" customFormat="1" ht="12" x14ac:dyDescent="0.2">
      <c r="C489" s="64"/>
      <c r="D489" s="292"/>
      <c r="E489" s="298"/>
      <c r="F489" s="279"/>
      <c r="G489" s="561"/>
      <c r="H489" s="553"/>
      <c r="J489" s="613"/>
      <c r="K489" s="561"/>
      <c r="L489" s="561"/>
      <c r="M489" s="561"/>
      <c r="N489" s="561"/>
      <c r="O489" s="561"/>
      <c r="P489" s="561"/>
      <c r="Q489" s="561"/>
      <c r="R489" s="561"/>
      <c r="S489" s="561"/>
      <c r="T489" s="561"/>
      <c r="U489" s="561"/>
      <c r="V489" s="561"/>
      <c r="W489" s="553"/>
      <c r="Y489" s="287"/>
      <c r="Z489" s="287"/>
    </row>
    <row r="490" spans="3:26" s="63" customFormat="1" ht="12" x14ac:dyDescent="0.2">
      <c r="C490" s="64"/>
      <c r="D490" s="292"/>
      <c r="E490" s="298"/>
      <c r="F490" s="279"/>
      <c r="G490" s="561"/>
      <c r="H490" s="553"/>
      <c r="J490" s="613"/>
      <c r="K490" s="561"/>
      <c r="L490" s="561"/>
      <c r="M490" s="561"/>
      <c r="N490" s="561"/>
      <c r="O490" s="561"/>
      <c r="P490" s="561"/>
      <c r="Q490" s="561"/>
      <c r="R490" s="561"/>
      <c r="S490" s="561"/>
      <c r="T490" s="561"/>
      <c r="U490" s="561"/>
      <c r="V490" s="561"/>
      <c r="W490" s="553"/>
      <c r="Y490" s="287"/>
      <c r="Z490" s="287"/>
    </row>
    <row r="491" spans="3:26" s="63" customFormat="1" ht="12" x14ac:dyDescent="0.2">
      <c r="C491" s="64"/>
      <c r="D491" s="292"/>
      <c r="E491" s="298"/>
      <c r="F491" s="279"/>
      <c r="G491" s="561"/>
      <c r="H491" s="553"/>
      <c r="J491" s="613"/>
      <c r="K491" s="561"/>
      <c r="L491" s="561"/>
      <c r="M491" s="561"/>
      <c r="N491" s="561"/>
      <c r="O491" s="561"/>
      <c r="P491" s="561"/>
      <c r="Q491" s="561"/>
      <c r="R491" s="561"/>
      <c r="S491" s="561"/>
      <c r="T491" s="561"/>
      <c r="U491" s="561"/>
      <c r="V491" s="561"/>
      <c r="W491" s="553"/>
      <c r="Y491" s="287"/>
      <c r="Z491" s="287"/>
    </row>
    <row r="492" spans="3:26" s="63" customFormat="1" ht="12" x14ac:dyDescent="0.2">
      <c r="C492" s="64"/>
      <c r="D492" s="292"/>
      <c r="E492" s="298"/>
      <c r="F492" s="279"/>
      <c r="G492" s="561"/>
      <c r="H492" s="553"/>
      <c r="J492" s="613"/>
      <c r="K492" s="561"/>
      <c r="L492" s="561"/>
      <c r="M492" s="561"/>
      <c r="N492" s="561"/>
      <c r="O492" s="561"/>
      <c r="P492" s="561"/>
      <c r="Q492" s="561"/>
      <c r="R492" s="561"/>
      <c r="S492" s="561"/>
      <c r="T492" s="561"/>
      <c r="U492" s="561"/>
      <c r="V492" s="561"/>
      <c r="W492" s="553"/>
      <c r="Y492" s="287"/>
      <c r="Z492" s="287"/>
    </row>
    <row r="493" spans="3:26" s="63" customFormat="1" ht="12" x14ac:dyDescent="0.2">
      <c r="C493" s="64"/>
      <c r="D493" s="292"/>
      <c r="E493" s="298"/>
      <c r="F493" s="279"/>
      <c r="G493" s="561"/>
      <c r="H493" s="553"/>
      <c r="J493" s="613"/>
      <c r="K493" s="561"/>
      <c r="L493" s="561"/>
      <c r="M493" s="561"/>
      <c r="N493" s="561"/>
      <c r="O493" s="561"/>
      <c r="P493" s="561"/>
      <c r="Q493" s="561"/>
      <c r="R493" s="561"/>
      <c r="S493" s="561"/>
      <c r="T493" s="561"/>
      <c r="U493" s="561"/>
      <c r="V493" s="561"/>
      <c r="W493" s="553"/>
      <c r="Y493" s="287"/>
      <c r="Z493" s="287"/>
    </row>
    <row r="494" spans="3:26" s="63" customFormat="1" ht="12" x14ac:dyDescent="0.2">
      <c r="C494" s="64"/>
      <c r="D494" s="292"/>
      <c r="E494" s="298"/>
      <c r="F494" s="279"/>
      <c r="G494" s="561"/>
      <c r="H494" s="553"/>
      <c r="J494" s="613"/>
      <c r="K494" s="561"/>
      <c r="L494" s="561"/>
      <c r="M494" s="561"/>
      <c r="N494" s="561"/>
      <c r="O494" s="561"/>
      <c r="P494" s="561"/>
      <c r="Q494" s="561"/>
      <c r="R494" s="561"/>
      <c r="S494" s="561"/>
      <c r="T494" s="561"/>
      <c r="U494" s="561"/>
      <c r="V494" s="561"/>
      <c r="W494" s="553"/>
      <c r="Y494" s="287"/>
      <c r="Z494" s="287"/>
    </row>
    <row r="495" spans="3:26" s="63" customFormat="1" ht="12" x14ac:dyDescent="0.2">
      <c r="C495" s="64"/>
      <c r="D495" s="292"/>
      <c r="E495" s="298"/>
      <c r="F495" s="279"/>
      <c r="G495" s="561"/>
      <c r="H495" s="553"/>
      <c r="J495" s="613"/>
      <c r="K495" s="561"/>
      <c r="L495" s="561"/>
      <c r="M495" s="561"/>
      <c r="N495" s="561"/>
      <c r="O495" s="561"/>
      <c r="P495" s="561"/>
      <c r="Q495" s="561"/>
      <c r="R495" s="561"/>
      <c r="S495" s="561"/>
      <c r="T495" s="561"/>
      <c r="U495" s="561"/>
      <c r="V495" s="561"/>
      <c r="W495" s="553"/>
      <c r="Y495" s="287"/>
      <c r="Z495" s="287"/>
    </row>
    <row r="496" spans="3:26" s="63" customFormat="1" ht="12" x14ac:dyDescent="0.2">
      <c r="C496" s="64"/>
      <c r="D496" s="292"/>
      <c r="E496" s="298"/>
      <c r="F496" s="279"/>
      <c r="G496" s="561"/>
      <c r="H496" s="553"/>
      <c r="J496" s="613"/>
      <c r="K496" s="561"/>
      <c r="L496" s="561"/>
      <c r="M496" s="561"/>
      <c r="N496" s="561"/>
      <c r="O496" s="561"/>
      <c r="P496" s="561"/>
      <c r="Q496" s="561"/>
      <c r="R496" s="561"/>
      <c r="S496" s="561"/>
      <c r="T496" s="561"/>
      <c r="U496" s="561"/>
      <c r="V496" s="561"/>
      <c r="W496" s="553"/>
      <c r="Y496" s="287"/>
      <c r="Z496" s="287"/>
    </row>
    <row r="497" spans="3:26" s="63" customFormat="1" ht="12" x14ac:dyDescent="0.2">
      <c r="C497" s="64"/>
      <c r="D497" s="292"/>
      <c r="E497" s="298"/>
      <c r="F497" s="279"/>
      <c r="G497" s="561"/>
      <c r="H497" s="553"/>
      <c r="J497" s="613"/>
      <c r="K497" s="561"/>
      <c r="L497" s="561"/>
      <c r="M497" s="561"/>
      <c r="N497" s="561"/>
      <c r="O497" s="561"/>
      <c r="P497" s="561"/>
      <c r="Q497" s="561"/>
      <c r="R497" s="561"/>
      <c r="S497" s="561"/>
      <c r="T497" s="561"/>
      <c r="U497" s="561"/>
      <c r="V497" s="561"/>
      <c r="W497" s="553"/>
      <c r="Y497" s="287"/>
      <c r="Z497" s="287"/>
    </row>
    <row r="498" spans="3:26" s="63" customFormat="1" ht="12" x14ac:dyDescent="0.2">
      <c r="C498" s="64"/>
      <c r="D498" s="292"/>
      <c r="E498" s="298"/>
      <c r="F498" s="279"/>
      <c r="G498" s="561"/>
      <c r="H498" s="553"/>
      <c r="J498" s="613"/>
      <c r="K498" s="561"/>
      <c r="L498" s="561"/>
      <c r="M498" s="561"/>
      <c r="N498" s="561"/>
      <c r="O498" s="561"/>
      <c r="P498" s="561"/>
      <c r="Q498" s="561"/>
      <c r="R498" s="561"/>
      <c r="S498" s="561"/>
      <c r="T498" s="561"/>
      <c r="U498" s="561"/>
      <c r="V498" s="561"/>
      <c r="W498" s="553"/>
      <c r="Y498" s="287"/>
      <c r="Z498" s="287"/>
    </row>
    <row r="499" spans="3:26" s="63" customFormat="1" ht="12" x14ac:dyDescent="0.2">
      <c r="C499" s="64"/>
      <c r="D499" s="292"/>
      <c r="E499" s="298"/>
      <c r="F499" s="279"/>
      <c r="G499" s="561"/>
      <c r="H499" s="553"/>
      <c r="J499" s="613"/>
      <c r="K499" s="561"/>
      <c r="L499" s="561"/>
      <c r="M499" s="561"/>
      <c r="N499" s="561"/>
      <c r="O499" s="561"/>
      <c r="P499" s="561"/>
      <c r="Q499" s="561"/>
      <c r="R499" s="561"/>
      <c r="S499" s="561"/>
      <c r="T499" s="561"/>
      <c r="U499" s="561"/>
      <c r="V499" s="561"/>
      <c r="W499" s="553"/>
      <c r="Y499" s="287"/>
      <c r="Z499" s="287"/>
    </row>
    <row r="500" spans="3:26" s="63" customFormat="1" ht="12" x14ac:dyDescent="0.2">
      <c r="C500" s="64"/>
      <c r="D500" s="292"/>
      <c r="E500" s="298"/>
      <c r="F500" s="279"/>
      <c r="G500" s="561"/>
      <c r="H500" s="553"/>
      <c r="J500" s="613"/>
      <c r="K500" s="561"/>
      <c r="L500" s="561"/>
      <c r="M500" s="561"/>
      <c r="N500" s="561"/>
      <c r="O500" s="561"/>
      <c r="P500" s="561"/>
      <c r="Q500" s="561"/>
      <c r="R500" s="561"/>
      <c r="S500" s="561"/>
      <c r="T500" s="561"/>
      <c r="U500" s="561"/>
      <c r="V500" s="561"/>
      <c r="W500" s="553"/>
      <c r="Y500" s="287"/>
      <c r="Z500" s="287"/>
    </row>
    <row r="501" spans="3:26" s="63" customFormat="1" ht="12" x14ac:dyDescent="0.2">
      <c r="C501" s="64"/>
      <c r="D501" s="292"/>
      <c r="E501" s="298"/>
      <c r="F501" s="279"/>
      <c r="G501" s="561"/>
      <c r="H501" s="553"/>
      <c r="J501" s="613"/>
      <c r="K501" s="561"/>
      <c r="L501" s="561"/>
      <c r="M501" s="561"/>
      <c r="N501" s="561"/>
      <c r="O501" s="561"/>
      <c r="P501" s="561"/>
      <c r="Q501" s="561"/>
      <c r="R501" s="561"/>
      <c r="S501" s="561"/>
      <c r="T501" s="561"/>
      <c r="U501" s="561"/>
      <c r="V501" s="561"/>
      <c r="W501" s="553"/>
      <c r="Y501" s="287"/>
      <c r="Z501" s="287"/>
    </row>
    <row r="502" spans="3:26" s="63" customFormat="1" ht="12" x14ac:dyDescent="0.2">
      <c r="C502" s="64"/>
      <c r="D502" s="292"/>
      <c r="E502" s="298"/>
      <c r="F502" s="279"/>
      <c r="G502" s="561"/>
      <c r="H502" s="553"/>
      <c r="J502" s="613"/>
      <c r="K502" s="561"/>
      <c r="L502" s="561"/>
      <c r="M502" s="561"/>
      <c r="N502" s="561"/>
      <c r="O502" s="561"/>
      <c r="P502" s="561"/>
      <c r="Q502" s="561"/>
      <c r="R502" s="561"/>
      <c r="S502" s="561"/>
      <c r="T502" s="561"/>
      <c r="U502" s="561"/>
      <c r="V502" s="561"/>
      <c r="W502" s="553"/>
      <c r="Y502" s="287"/>
      <c r="Z502" s="287"/>
    </row>
    <row r="503" spans="3:26" s="63" customFormat="1" ht="12" x14ac:dyDescent="0.2">
      <c r="C503" s="64"/>
      <c r="D503" s="292"/>
      <c r="E503" s="298"/>
      <c r="F503" s="279"/>
      <c r="G503" s="561"/>
      <c r="H503" s="553"/>
      <c r="J503" s="613"/>
      <c r="K503" s="561"/>
      <c r="L503" s="561"/>
      <c r="M503" s="561"/>
      <c r="N503" s="561"/>
      <c r="O503" s="561"/>
      <c r="P503" s="561"/>
      <c r="Q503" s="561"/>
      <c r="R503" s="561"/>
      <c r="S503" s="561"/>
      <c r="T503" s="561"/>
      <c r="U503" s="561"/>
      <c r="V503" s="561"/>
      <c r="W503" s="553"/>
      <c r="Y503" s="287"/>
      <c r="Z503" s="287"/>
    </row>
    <row r="504" spans="3:26" s="63" customFormat="1" ht="12" x14ac:dyDescent="0.2">
      <c r="C504" s="64"/>
      <c r="D504" s="292"/>
      <c r="E504" s="298"/>
      <c r="F504" s="279"/>
      <c r="G504" s="561"/>
      <c r="H504" s="553"/>
      <c r="J504" s="613"/>
      <c r="K504" s="561"/>
      <c r="L504" s="561"/>
      <c r="M504" s="561"/>
      <c r="N504" s="561"/>
      <c r="O504" s="561"/>
      <c r="P504" s="561"/>
      <c r="Q504" s="561"/>
      <c r="R504" s="561"/>
      <c r="S504" s="561"/>
      <c r="T504" s="561"/>
      <c r="U504" s="561"/>
      <c r="V504" s="561"/>
      <c r="W504" s="553"/>
      <c r="Y504" s="287"/>
      <c r="Z504" s="287"/>
    </row>
    <row r="505" spans="3:26" s="63" customFormat="1" ht="12" x14ac:dyDescent="0.2">
      <c r="C505" s="64"/>
      <c r="D505" s="292"/>
      <c r="E505" s="298"/>
      <c r="F505" s="279"/>
      <c r="G505" s="561"/>
      <c r="H505" s="553"/>
      <c r="J505" s="613"/>
      <c r="K505" s="561"/>
      <c r="L505" s="561"/>
      <c r="M505" s="561"/>
      <c r="N505" s="561"/>
      <c r="O505" s="561"/>
      <c r="P505" s="561"/>
      <c r="Q505" s="561"/>
      <c r="R505" s="561"/>
      <c r="S505" s="561"/>
      <c r="T505" s="561"/>
      <c r="U505" s="561"/>
      <c r="V505" s="561"/>
      <c r="W505" s="553"/>
      <c r="Y505" s="287"/>
      <c r="Z505" s="287"/>
    </row>
    <row r="506" spans="3:26" s="63" customFormat="1" ht="12" x14ac:dyDescent="0.2">
      <c r="C506" s="64"/>
      <c r="D506" s="292"/>
      <c r="E506" s="298"/>
      <c r="F506" s="279"/>
      <c r="G506" s="561"/>
      <c r="H506" s="553"/>
      <c r="J506" s="613"/>
      <c r="K506" s="561"/>
      <c r="L506" s="561"/>
      <c r="M506" s="561"/>
      <c r="N506" s="561"/>
      <c r="O506" s="561"/>
      <c r="P506" s="561"/>
      <c r="Q506" s="561"/>
      <c r="R506" s="561"/>
      <c r="S506" s="561"/>
      <c r="T506" s="561"/>
      <c r="U506" s="561"/>
      <c r="V506" s="561"/>
      <c r="W506" s="553"/>
      <c r="Y506" s="287"/>
      <c r="Z506" s="287"/>
    </row>
    <row r="507" spans="3:26" s="63" customFormat="1" ht="12" x14ac:dyDescent="0.2">
      <c r="C507" s="64"/>
      <c r="D507" s="292"/>
      <c r="E507" s="298"/>
      <c r="F507" s="279"/>
      <c r="G507" s="561"/>
      <c r="H507" s="553"/>
      <c r="J507" s="613"/>
      <c r="K507" s="561"/>
      <c r="L507" s="561"/>
      <c r="M507" s="561"/>
      <c r="N507" s="561"/>
      <c r="O507" s="561"/>
      <c r="P507" s="561"/>
      <c r="Q507" s="561"/>
      <c r="R507" s="561"/>
      <c r="S507" s="561"/>
      <c r="T507" s="561"/>
      <c r="U507" s="561"/>
      <c r="V507" s="561"/>
      <c r="W507" s="553"/>
      <c r="Y507" s="287"/>
      <c r="Z507" s="287"/>
    </row>
    <row r="508" spans="3:26" s="63" customFormat="1" ht="12" x14ac:dyDescent="0.2">
      <c r="C508" s="64"/>
      <c r="D508" s="292"/>
      <c r="E508" s="298"/>
      <c r="F508" s="279"/>
      <c r="G508" s="561"/>
      <c r="H508" s="553"/>
      <c r="J508" s="613"/>
      <c r="K508" s="561"/>
      <c r="L508" s="561"/>
      <c r="M508" s="561"/>
      <c r="N508" s="561"/>
      <c r="O508" s="561"/>
      <c r="P508" s="561"/>
      <c r="Q508" s="561"/>
      <c r="R508" s="561"/>
      <c r="S508" s="561"/>
      <c r="T508" s="561"/>
      <c r="U508" s="561"/>
      <c r="V508" s="561"/>
      <c r="W508" s="553"/>
      <c r="Y508" s="287"/>
      <c r="Z508" s="287"/>
    </row>
    <row r="509" spans="3:26" s="63" customFormat="1" ht="12" x14ac:dyDescent="0.2">
      <c r="C509" s="64"/>
      <c r="D509" s="292"/>
      <c r="E509" s="298"/>
      <c r="F509" s="279"/>
      <c r="G509" s="561"/>
      <c r="H509" s="553"/>
      <c r="J509" s="613"/>
      <c r="K509" s="561"/>
      <c r="L509" s="561"/>
      <c r="M509" s="561"/>
      <c r="N509" s="561"/>
      <c r="O509" s="561"/>
      <c r="P509" s="561"/>
      <c r="Q509" s="561"/>
      <c r="R509" s="561"/>
      <c r="S509" s="561"/>
      <c r="T509" s="561"/>
      <c r="U509" s="561"/>
      <c r="V509" s="561"/>
      <c r="W509" s="553"/>
      <c r="Y509" s="287"/>
      <c r="Z509" s="287"/>
    </row>
    <row r="510" spans="3:26" s="63" customFormat="1" ht="12" x14ac:dyDescent="0.2">
      <c r="C510" s="64"/>
      <c r="D510" s="292"/>
      <c r="E510" s="298"/>
      <c r="F510" s="279"/>
      <c r="G510" s="561"/>
      <c r="H510" s="553"/>
      <c r="J510" s="613"/>
      <c r="K510" s="561"/>
      <c r="L510" s="561"/>
      <c r="M510" s="561"/>
      <c r="N510" s="561"/>
      <c r="O510" s="561"/>
      <c r="P510" s="561"/>
      <c r="Q510" s="561"/>
      <c r="R510" s="561"/>
      <c r="S510" s="561"/>
      <c r="T510" s="561"/>
      <c r="U510" s="561"/>
      <c r="V510" s="561"/>
      <c r="W510" s="553"/>
      <c r="Y510" s="287"/>
      <c r="Z510" s="287"/>
    </row>
    <row r="511" spans="3:26" s="63" customFormat="1" ht="12" x14ac:dyDescent="0.2">
      <c r="C511" s="64"/>
      <c r="D511" s="292"/>
      <c r="E511" s="298"/>
      <c r="F511" s="279"/>
      <c r="G511" s="561"/>
      <c r="H511" s="553"/>
      <c r="J511" s="613"/>
      <c r="K511" s="561"/>
      <c r="L511" s="561"/>
      <c r="M511" s="561"/>
      <c r="N511" s="561"/>
      <c r="O511" s="561"/>
      <c r="P511" s="561"/>
      <c r="Q511" s="561"/>
      <c r="R511" s="561"/>
      <c r="S511" s="561"/>
      <c r="T511" s="561"/>
      <c r="U511" s="561"/>
      <c r="V511" s="561"/>
      <c r="W511" s="553"/>
      <c r="Y511" s="287"/>
      <c r="Z511" s="287"/>
    </row>
    <row r="512" spans="3:26" s="63" customFormat="1" ht="12" x14ac:dyDescent="0.2">
      <c r="C512" s="64"/>
      <c r="D512" s="292"/>
      <c r="E512" s="298"/>
      <c r="F512" s="279"/>
      <c r="G512" s="561"/>
      <c r="H512" s="553"/>
      <c r="J512" s="613"/>
      <c r="K512" s="561"/>
      <c r="L512" s="561"/>
      <c r="M512" s="561"/>
      <c r="N512" s="561"/>
      <c r="O512" s="561"/>
      <c r="P512" s="561"/>
      <c r="Q512" s="561"/>
      <c r="R512" s="561"/>
      <c r="S512" s="561"/>
      <c r="T512" s="561"/>
      <c r="U512" s="561"/>
      <c r="V512" s="561"/>
      <c r="W512" s="553"/>
      <c r="Y512" s="287"/>
      <c r="Z512" s="287"/>
    </row>
    <row r="513" spans="3:26" s="63" customFormat="1" ht="12" x14ac:dyDescent="0.2">
      <c r="C513" s="64"/>
      <c r="D513" s="292"/>
      <c r="E513" s="298"/>
      <c r="F513" s="279"/>
      <c r="G513" s="561"/>
      <c r="H513" s="553"/>
      <c r="J513" s="613"/>
      <c r="K513" s="561"/>
      <c r="L513" s="561"/>
      <c r="M513" s="561"/>
      <c r="N513" s="561"/>
      <c r="O513" s="561"/>
      <c r="P513" s="561"/>
      <c r="Q513" s="561"/>
      <c r="R513" s="561"/>
      <c r="S513" s="561"/>
      <c r="T513" s="561"/>
      <c r="U513" s="561"/>
      <c r="V513" s="561"/>
      <c r="W513" s="553"/>
      <c r="Y513" s="287"/>
      <c r="Z513" s="287"/>
    </row>
    <row r="514" spans="3:26" s="63" customFormat="1" ht="12" x14ac:dyDescent="0.2">
      <c r="C514" s="64"/>
      <c r="D514" s="292"/>
      <c r="E514" s="298"/>
      <c r="F514" s="279"/>
      <c r="G514" s="561"/>
      <c r="H514" s="553"/>
      <c r="J514" s="613"/>
      <c r="K514" s="561"/>
      <c r="L514" s="561"/>
      <c r="M514" s="561"/>
      <c r="N514" s="561"/>
      <c r="O514" s="561"/>
      <c r="P514" s="561"/>
      <c r="Q514" s="561"/>
      <c r="R514" s="561"/>
      <c r="S514" s="561"/>
      <c r="T514" s="561"/>
      <c r="U514" s="561"/>
      <c r="V514" s="561"/>
      <c r="W514" s="553"/>
      <c r="Y514" s="287"/>
      <c r="Z514" s="287"/>
    </row>
    <row r="515" spans="3:26" s="63" customFormat="1" ht="12" x14ac:dyDescent="0.2">
      <c r="C515" s="64"/>
      <c r="D515" s="292"/>
      <c r="E515" s="298"/>
      <c r="F515" s="279"/>
      <c r="G515" s="561"/>
      <c r="H515" s="553"/>
      <c r="J515" s="613"/>
      <c r="K515" s="561"/>
      <c r="L515" s="561"/>
      <c r="M515" s="561"/>
      <c r="N515" s="561"/>
      <c r="O515" s="561"/>
      <c r="P515" s="561"/>
      <c r="Q515" s="561"/>
      <c r="R515" s="561"/>
      <c r="S515" s="561"/>
      <c r="T515" s="561"/>
      <c r="U515" s="561"/>
      <c r="V515" s="561"/>
      <c r="W515" s="553"/>
      <c r="Y515" s="287"/>
      <c r="Z515" s="287"/>
    </row>
    <row r="516" spans="3:26" s="63" customFormat="1" ht="12" x14ac:dyDescent="0.2">
      <c r="C516" s="64"/>
      <c r="D516" s="292"/>
      <c r="E516" s="298"/>
      <c r="F516" s="279"/>
      <c r="G516" s="561"/>
      <c r="H516" s="553"/>
      <c r="J516" s="613"/>
      <c r="K516" s="561"/>
      <c r="L516" s="561"/>
      <c r="M516" s="561"/>
      <c r="N516" s="561"/>
      <c r="O516" s="561"/>
      <c r="P516" s="561"/>
      <c r="Q516" s="561"/>
      <c r="R516" s="561"/>
      <c r="S516" s="561"/>
      <c r="T516" s="561"/>
      <c r="U516" s="561"/>
      <c r="V516" s="561"/>
      <c r="W516" s="553"/>
      <c r="Y516" s="287"/>
      <c r="Z516" s="287"/>
    </row>
    <row r="517" spans="3:26" s="63" customFormat="1" ht="12" x14ac:dyDescent="0.2">
      <c r="C517" s="64"/>
      <c r="D517" s="292"/>
      <c r="E517" s="298"/>
      <c r="F517" s="279"/>
      <c r="G517" s="561"/>
      <c r="H517" s="553"/>
      <c r="J517" s="613"/>
      <c r="K517" s="561"/>
      <c r="L517" s="561"/>
      <c r="M517" s="561"/>
      <c r="N517" s="561"/>
      <c r="O517" s="561"/>
      <c r="P517" s="561"/>
      <c r="Q517" s="561"/>
      <c r="R517" s="561"/>
      <c r="S517" s="561"/>
      <c r="T517" s="561"/>
      <c r="U517" s="561"/>
      <c r="V517" s="561"/>
      <c r="W517" s="553"/>
      <c r="Y517" s="287"/>
      <c r="Z517" s="287"/>
    </row>
    <row r="518" spans="3:26" s="63" customFormat="1" ht="12" x14ac:dyDescent="0.2">
      <c r="C518" s="64"/>
      <c r="D518" s="292"/>
      <c r="E518" s="298"/>
      <c r="F518" s="279"/>
      <c r="G518" s="561"/>
      <c r="H518" s="553"/>
      <c r="J518" s="613"/>
      <c r="K518" s="561"/>
      <c r="L518" s="561"/>
      <c r="M518" s="561"/>
      <c r="N518" s="561"/>
      <c r="O518" s="561"/>
      <c r="P518" s="561"/>
      <c r="Q518" s="561"/>
      <c r="R518" s="561"/>
      <c r="S518" s="561"/>
      <c r="T518" s="561"/>
      <c r="U518" s="561"/>
      <c r="V518" s="561"/>
      <c r="W518" s="553"/>
      <c r="Y518" s="287"/>
      <c r="Z518" s="287"/>
    </row>
    <row r="519" spans="3:26" s="63" customFormat="1" ht="12" x14ac:dyDescent="0.2">
      <c r="C519" s="64"/>
      <c r="D519" s="292"/>
      <c r="E519" s="298"/>
      <c r="F519" s="279"/>
      <c r="G519" s="561"/>
      <c r="H519" s="553"/>
      <c r="J519" s="613"/>
      <c r="K519" s="561"/>
      <c r="L519" s="561"/>
      <c r="M519" s="561"/>
      <c r="N519" s="561"/>
      <c r="O519" s="561"/>
      <c r="P519" s="561"/>
      <c r="Q519" s="561"/>
      <c r="R519" s="561"/>
      <c r="S519" s="561"/>
      <c r="T519" s="561"/>
      <c r="U519" s="561"/>
      <c r="V519" s="561"/>
      <c r="W519" s="553"/>
      <c r="Y519" s="287"/>
      <c r="Z519" s="287"/>
    </row>
    <row r="520" spans="3:26" s="63" customFormat="1" ht="12" x14ac:dyDescent="0.2">
      <c r="C520" s="64"/>
      <c r="D520" s="292"/>
      <c r="E520" s="298"/>
      <c r="F520" s="279"/>
      <c r="G520" s="561"/>
      <c r="H520" s="553"/>
      <c r="J520" s="613"/>
      <c r="K520" s="561"/>
      <c r="L520" s="561"/>
      <c r="M520" s="561"/>
      <c r="N520" s="561"/>
      <c r="O520" s="561"/>
      <c r="P520" s="561"/>
      <c r="Q520" s="561"/>
      <c r="R520" s="561"/>
      <c r="S520" s="561"/>
      <c r="T520" s="561"/>
      <c r="U520" s="561"/>
      <c r="V520" s="561"/>
      <c r="W520" s="553"/>
      <c r="Y520" s="287"/>
      <c r="Z520" s="287"/>
    </row>
    <row r="521" spans="3:26" s="63" customFormat="1" ht="12" x14ac:dyDescent="0.2">
      <c r="C521" s="64"/>
      <c r="D521" s="292"/>
      <c r="E521" s="298"/>
      <c r="F521" s="279"/>
      <c r="G521" s="561"/>
      <c r="H521" s="553"/>
      <c r="J521" s="613"/>
      <c r="K521" s="561"/>
      <c r="L521" s="561"/>
      <c r="M521" s="561"/>
      <c r="N521" s="561"/>
      <c r="O521" s="561"/>
      <c r="P521" s="561"/>
      <c r="Q521" s="561"/>
      <c r="R521" s="561"/>
      <c r="S521" s="561"/>
      <c r="T521" s="561"/>
      <c r="U521" s="561"/>
      <c r="V521" s="561"/>
      <c r="W521" s="553"/>
      <c r="Y521" s="287"/>
      <c r="Z521" s="287"/>
    </row>
    <row r="522" spans="3:26" s="63" customFormat="1" ht="12" x14ac:dyDescent="0.2">
      <c r="C522" s="64"/>
      <c r="D522" s="292"/>
      <c r="E522" s="298"/>
      <c r="F522" s="279"/>
      <c r="G522" s="561"/>
      <c r="H522" s="553"/>
      <c r="J522" s="613"/>
      <c r="K522" s="561"/>
      <c r="L522" s="561"/>
      <c r="M522" s="561"/>
      <c r="N522" s="561"/>
      <c r="O522" s="561"/>
      <c r="P522" s="561"/>
      <c r="Q522" s="561"/>
      <c r="R522" s="561"/>
      <c r="S522" s="561"/>
      <c r="T522" s="561"/>
      <c r="U522" s="561"/>
      <c r="V522" s="561"/>
      <c r="W522" s="553"/>
      <c r="Y522" s="287"/>
      <c r="Z522" s="287"/>
    </row>
    <row r="523" spans="3:26" s="63" customFormat="1" ht="12" x14ac:dyDescent="0.2">
      <c r="C523" s="64"/>
      <c r="D523" s="292"/>
      <c r="E523" s="298"/>
      <c r="F523" s="279"/>
      <c r="G523" s="561"/>
      <c r="H523" s="553"/>
      <c r="J523" s="613"/>
      <c r="K523" s="561"/>
      <c r="L523" s="561"/>
      <c r="M523" s="561"/>
      <c r="N523" s="561"/>
      <c r="O523" s="561"/>
      <c r="P523" s="561"/>
      <c r="Q523" s="561"/>
      <c r="R523" s="561"/>
      <c r="S523" s="561"/>
      <c r="T523" s="561"/>
      <c r="U523" s="561"/>
      <c r="V523" s="561"/>
      <c r="W523" s="553"/>
      <c r="Y523" s="287"/>
      <c r="Z523" s="287"/>
    </row>
    <row r="524" spans="3:26" s="63" customFormat="1" ht="12" x14ac:dyDescent="0.2">
      <c r="C524" s="64"/>
      <c r="D524" s="292"/>
      <c r="E524" s="298"/>
      <c r="F524" s="279"/>
      <c r="G524" s="561"/>
      <c r="H524" s="553"/>
      <c r="J524" s="613"/>
      <c r="K524" s="561"/>
      <c r="L524" s="561"/>
      <c r="M524" s="561"/>
      <c r="N524" s="561"/>
      <c r="O524" s="561"/>
      <c r="P524" s="561"/>
      <c r="Q524" s="561"/>
      <c r="R524" s="561"/>
      <c r="S524" s="561"/>
      <c r="T524" s="561"/>
      <c r="U524" s="561"/>
      <c r="V524" s="561"/>
      <c r="W524" s="553"/>
      <c r="Y524" s="287"/>
      <c r="Z524" s="287"/>
    </row>
    <row r="525" spans="3:26" s="63" customFormat="1" ht="12" x14ac:dyDescent="0.2">
      <c r="C525" s="64"/>
      <c r="D525" s="292"/>
      <c r="E525" s="298"/>
      <c r="F525" s="279"/>
      <c r="G525" s="561"/>
      <c r="H525" s="553"/>
      <c r="J525" s="613"/>
      <c r="K525" s="561"/>
      <c r="L525" s="561"/>
      <c r="M525" s="561"/>
      <c r="N525" s="561"/>
      <c r="O525" s="561"/>
      <c r="P525" s="561"/>
      <c r="Q525" s="561"/>
      <c r="R525" s="561"/>
      <c r="S525" s="561"/>
      <c r="T525" s="561"/>
      <c r="U525" s="561"/>
      <c r="V525" s="561"/>
      <c r="W525" s="553"/>
      <c r="Y525" s="287"/>
      <c r="Z525" s="287"/>
    </row>
    <row r="526" spans="3:26" s="63" customFormat="1" ht="12" x14ac:dyDescent="0.2">
      <c r="C526" s="64"/>
      <c r="D526" s="292"/>
      <c r="E526" s="298"/>
      <c r="F526" s="279"/>
      <c r="G526" s="561"/>
      <c r="H526" s="553"/>
      <c r="J526" s="613"/>
      <c r="K526" s="561"/>
      <c r="L526" s="561"/>
      <c r="M526" s="561"/>
      <c r="N526" s="561"/>
      <c r="O526" s="561"/>
      <c r="P526" s="561"/>
      <c r="Q526" s="561"/>
      <c r="R526" s="561"/>
      <c r="S526" s="561"/>
      <c r="T526" s="561"/>
      <c r="U526" s="561"/>
      <c r="V526" s="561"/>
      <c r="W526" s="553"/>
      <c r="Y526" s="287"/>
      <c r="Z526" s="287"/>
    </row>
    <row r="527" spans="3:26" s="63" customFormat="1" ht="12" x14ac:dyDescent="0.2">
      <c r="C527" s="64"/>
      <c r="D527" s="292"/>
      <c r="E527" s="298"/>
      <c r="F527" s="279"/>
      <c r="G527" s="561"/>
      <c r="H527" s="553"/>
      <c r="J527" s="613"/>
      <c r="K527" s="561"/>
      <c r="L527" s="561"/>
      <c r="M527" s="561"/>
      <c r="N527" s="561"/>
      <c r="O527" s="561"/>
      <c r="P527" s="561"/>
      <c r="Q527" s="561"/>
      <c r="R527" s="561"/>
      <c r="S527" s="561"/>
      <c r="T527" s="561"/>
      <c r="U527" s="561"/>
      <c r="V527" s="561"/>
      <c r="W527" s="553"/>
      <c r="Y527" s="287"/>
      <c r="Z527" s="287"/>
    </row>
    <row r="528" spans="3:26" s="63" customFormat="1" ht="12" x14ac:dyDescent="0.2">
      <c r="C528" s="64"/>
      <c r="D528" s="292"/>
      <c r="E528" s="298"/>
      <c r="F528" s="279"/>
      <c r="G528" s="561"/>
      <c r="H528" s="553"/>
      <c r="J528" s="613"/>
      <c r="K528" s="561"/>
      <c r="L528" s="561"/>
      <c r="M528" s="561"/>
      <c r="N528" s="561"/>
      <c r="O528" s="561"/>
      <c r="P528" s="561"/>
      <c r="Q528" s="561"/>
      <c r="R528" s="561"/>
      <c r="S528" s="561"/>
      <c r="T528" s="561"/>
      <c r="U528" s="561"/>
      <c r="V528" s="561"/>
      <c r="W528" s="553"/>
      <c r="Y528" s="287"/>
      <c r="Z528" s="287"/>
    </row>
    <row r="529" spans="3:26" s="63" customFormat="1" ht="12" x14ac:dyDescent="0.2">
      <c r="C529" s="64"/>
      <c r="D529" s="292"/>
      <c r="E529" s="298"/>
      <c r="F529" s="279"/>
      <c r="G529" s="561"/>
      <c r="H529" s="553"/>
      <c r="J529" s="613"/>
      <c r="K529" s="561"/>
      <c r="L529" s="561"/>
      <c r="M529" s="561"/>
      <c r="N529" s="561"/>
      <c r="O529" s="561"/>
      <c r="P529" s="561"/>
      <c r="Q529" s="561"/>
      <c r="R529" s="561"/>
      <c r="S529" s="561"/>
      <c r="T529" s="561"/>
      <c r="U529" s="561"/>
      <c r="V529" s="561"/>
      <c r="W529" s="553"/>
      <c r="Y529" s="287"/>
      <c r="Z529" s="287"/>
    </row>
    <row r="530" spans="3:26" s="63" customFormat="1" ht="12" x14ac:dyDescent="0.2">
      <c r="C530" s="64"/>
      <c r="D530" s="292"/>
      <c r="E530" s="298"/>
      <c r="F530" s="279"/>
      <c r="G530" s="561"/>
      <c r="H530" s="553"/>
      <c r="J530" s="613"/>
      <c r="K530" s="561"/>
      <c r="L530" s="561"/>
      <c r="M530" s="561"/>
      <c r="N530" s="561"/>
      <c r="O530" s="561"/>
      <c r="P530" s="561"/>
      <c r="Q530" s="561"/>
      <c r="R530" s="561"/>
      <c r="S530" s="561"/>
      <c r="T530" s="561"/>
      <c r="U530" s="561"/>
      <c r="V530" s="561"/>
      <c r="W530" s="553"/>
      <c r="Y530" s="287"/>
      <c r="Z530" s="287"/>
    </row>
    <row r="531" spans="3:26" s="63" customFormat="1" ht="12" x14ac:dyDescent="0.2">
      <c r="C531" s="64"/>
      <c r="D531" s="292"/>
      <c r="E531" s="298"/>
      <c r="F531" s="279"/>
      <c r="G531" s="561"/>
      <c r="H531" s="553"/>
      <c r="J531" s="613"/>
      <c r="K531" s="561"/>
      <c r="L531" s="561"/>
      <c r="M531" s="561"/>
      <c r="N531" s="561"/>
      <c r="O531" s="561"/>
      <c r="P531" s="561"/>
      <c r="Q531" s="561"/>
      <c r="R531" s="561"/>
      <c r="S531" s="561"/>
      <c r="T531" s="561"/>
      <c r="U531" s="561"/>
      <c r="V531" s="561"/>
      <c r="W531" s="553"/>
      <c r="Y531" s="287"/>
      <c r="Z531" s="287"/>
    </row>
    <row r="532" spans="3:26" s="63" customFormat="1" ht="12" x14ac:dyDescent="0.2">
      <c r="C532" s="64"/>
      <c r="D532" s="292"/>
      <c r="E532" s="298"/>
      <c r="F532" s="279"/>
      <c r="G532" s="561"/>
      <c r="H532" s="553"/>
      <c r="J532" s="613"/>
      <c r="K532" s="561"/>
      <c r="L532" s="561"/>
      <c r="M532" s="561"/>
      <c r="N532" s="561"/>
      <c r="O532" s="561"/>
      <c r="P532" s="561"/>
      <c r="Q532" s="561"/>
      <c r="R532" s="561"/>
      <c r="S532" s="561"/>
      <c r="T532" s="561"/>
      <c r="U532" s="561"/>
      <c r="V532" s="561"/>
      <c r="W532" s="553"/>
      <c r="Y532" s="287"/>
      <c r="Z532" s="287"/>
    </row>
    <row r="533" spans="3:26" s="63" customFormat="1" ht="12" x14ac:dyDescent="0.2">
      <c r="C533" s="64"/>
      <c r="D533" s="292"/>
      <c r="E533" s="298"/>
      <c r="F533" s="279"/>
      <c r="G533" s="561"/>
      <c r="H533" s="553"/>
      <c r="J533" s="613"/>
      <c r="K533" s="561"/>
      <c r="L533" s="561"/>
      <c r="M533" s="561"/>
      <c r="N533" s="561"/>
      <c r="O533" s="561"/>
      <c r="P533" s="561"/>
      <c r="Q533" s="561"/>
      <c r="R533" s="561"/>
      <c r="S533" s="561"/>
      <c r="T533" s="561"/>
      <c r="U533" s="561"/>
      <c r="V533" s="561"/>
      <c r="W533" s="553"/>
      <c r="Y533" s="287"/>
      <c r="Z533" s="287"/>
    </row>
    <row r="534" spans="3:26" s="63" customFormat="1" ht="12" x14ac:dyDescent="0.2">
      <c r="C534" s="64"/>
      <c r="D534" s="292"/>
      <c r="E534" s="298"/>
      <c r="F534" s="279"/>
      <c r="G534" s="561"/>
      <c r="H534" s="553"/>
      <c r="J534" s="613"/>
      <c r="K534" s="561"/>
      <c r="L534" s="561"/>
      <c r="M534" s="561"/>
      <c r="N534" s="561"/>
      <c r="O534" s="561"/>
      <c r="P534" s="561"/>
      <c r="Q534" s="561"/>
      <c r="R534" s="561"/>
      <c r="S534" s="561"/>
      <c r="T534" s="561"/>
      <c r="U534" s="561"/>
      <c r="V534" s="561"/>
      <c r="W534" s="553"/>
      <c r="Y534" s="287"/>
      <c r="Z534" s="287"/>
    </row>
    <row r="535" spans="3:26" s="63" customFormat="1" ht="12" x14ac:dyDescent="0.2">
      <c r="C535" s="64"/>
      <c r="D535" s="292"/>
      <c r="E535" s="298"/>
      <c r="F535" s="279"/>
      <c r="G535" s="561"/>
      <c r="H535" s="553"/>
      <c r="J535" s="613"/>
      <c r="K535" s="561"/>
      <c r="L535" s="561"/>
      <c r="M535" s="561"/>
      <c r="N535" s="561"/>
      <c r="O535" s="561"/>
      <c r="P535" s="561"/>
      <c r="Q535" s="561"/>
      <c r="R535" s="561"/>
      <c r="S535" s="561"/>
      <c r="T535" s="561"/>
      <c r="U535" s="561"/>
      <c r="V535" s="561"/>
      <c r="W535" s="553"/>
      <c r="Y535" s="287"/>
      <c r="Z535" s="287"/>
    </row>
    <row r="536" spans="3:26" s="63" customFormat="1" ht="12" x14ac:dyDescent="0.2">
      <c r="C536" s="64"/>
      <c r="D536" s="292"/>
      <c r="E536" s="298"/>
      <c r="F536" s="279"/>
      <c r="G536" s="561"/>
      <c r="H536" s="553"/>
      <c r="J536" s="613"/>
      <c r="K536" s="561"/>
      <c r="L536" s="561"/>
      <c r="M536" s="561"/>
      <c r="N536" s="561"/>
      <c r="O536" s="561"/>
      <c r="P536" s="561"/>
      <c r="Q536" s="561"/>
      <c r="R536" s="561"/>
      <c r="S536" s="561"/>
      <c r="T536" s="561"/>
      <c r="U536" s="561"/>
      <c r="V536" s="561"/>
      <c r="W536" s="553"/>
      <c r="Y536" s="287"/>
      <c r="Z536" s="287"/>
    </row>
    <row r="537" spans="3:26" s="63" customFormat="1" ht="12" x14ac:dyDescent="0.2">
      <c r="C537" s="64"/>
      <c r="D537" s="292"/>
      <c r="E537" s="298"/>
      <c r="F537" s="279"/>
      <c r="G537" s="561"/>
      <c r="H537" s="553"/>
      <c r="J537" s="613"/>
      <c r="K537" s="561"/>
      <c r="L537" s="561"/>
      <c r="M537" s="561"/>
      <c r="N537" s="561"/>
      <c r="O537" s="561"/>
      <c r="P537" s="561"/>
      <c r="Q537" s="561"/>
      <c r="R537" s="561"/>
      <c r="S537" s="561"/>
      <c r="T537" s="561"/>
      <c r="U537" s="561"/>
      <c r="V537" s="561"/>
      <c r="W537" s="553"/>
      <c r="Y537" s="287"/>
      <c r="Z537" s="287"/>
    </row>
    <row r="538" spans="3:26" s="63" customFormat="1" ht="12" x14ac:dyDescent="0.2">
      <c r="C538" s="64"/>
      <c r="D538" s="292"/>
      <c r="E538" s="298"/>
      <c r="F538" s="279"/>
      <c r="G538" s="561"/>
      <c r="H538" s="553"/>
      <c r="J538" s="613"/>
      <c r="K538" s="561"/>
      <c r="L538" s="561"/>
      <c r="M538" s="561"/>
      <c r="N538" s="561"/>
      <c r="O538" s="561"/>
      <c r="P538" s="561"/>
      <c r="Q538" s="561"/>
      <c r="R538" s="561"/>
      <c r="S538" s="561"/>
      <c r="T538" s="561"/>
      <c r="U538" s="561"/>
      <c r="V538" s="561"/>
      <c r="W538" s="553"/>
      <c r="Y538" s="287"/>
      <c r="Z538" s="287"/>
    </row>
    <row r="539" spans="3:26" s="63" customFormat="1" ht="12" x14ac:dyDescent="0.2">
      <c r="C539" s="64"/>
      <c r="D539" s="292"/>
      <c r="E539" s="298"/>
      <c r="F539" s="279"/>
      <c r="G539" s="561"/>
      <c r="H539" s="553"/>
      <c r="J539" s="613"/>
      <c r="K539" s="561"/>
      <c r="L539" s="561"/>
      <c r="M539" s="561"/>
      <c r="N539" s="561"/>
      <c r="O539" s="561"/>
      <c r="P539" s="561"/>
      <c r="Q539" s="561"/>
      <c r="R539" s="561"/>
      <c r="S539" s="561"/>
      <c r="T539" s="561"/>
      <c r="U539" s="561"/>
      <c r="V539" s="561"/>
      <c r="W539" s="553"/>
      <c r="Y539" s="287"/>
      <c r="Z539" s="287"/>
    </row>
    <row r="540" spans="3:26" s="63" customFormat="1" ht="12" x14ac:dyDescent="0.2">
      <c r="C540" s="64"/>
      <c r="D540" s="292"/>
      <c r="E540" s="298"/>
      <c r="F540" s="279"/>
      <c r="G540" s="561"/>
      <c r="H540" s="553"/>
      <c r="J540" s="613"/>
      <c r="K540" s="561"/>
      <c r="L540" s="561"/>
      <c r="M540" s="561"/>
      <c r="N540" s="561"/>
      <c r="O540" s="561"/>
      <c r="P540" s="561"/>
      <c r="Q540" s="561"/>
      <c r="R540" s="561"/>
      <c r="S540" s="561"/>
      <c r="T540" s="561"/>
      <c r="U540" s="561"/>
      <c r="V540" s="561"/>
      <c r="W540" s="553"/>
      <c r="Y540" s="287"/>
      <c r="Z540" s="287"/>
    </row>
    <row r="541" spans="3:26" s="63" customFormat="1" ht="12" x14ac:dyDescent="0.2">
      <c r="C541" s="64"/>
      <c r="D541" s="292"/>
      <c r="E541" s="298"/>
      <c r="F541" s="279"/>
      <c r="G541" s="561"/>
      <c r="H541" s="553"/>
      <c r="J541" s="613"/>
      <c r="K541" s="561"/>
      <c r="L541" s="561"/>
      <c r="M541" s="561"/>
      <c r="N541" s="561"/>
      <c r="O541" s="561"/>
      <c r="P541" s="561"/>
      <c r="Q541" s="561"/>
      <c r="R541" s="561"/>
      <c r="S541" s="561"/>
      <c r="T541" s="561"/>
      <c r="U541" s="561"/>
      <c r="V541" s="561"/>
      <c r="W541" s="553"/>
      <c r="Y541" s="287"/>
      <c r="Z541" s="287"/>
    </row>
    <row r="542" spans="3:26" s="63" customFormat="1" ht="12" x14ac:dyDescent="0.2">
      <c r="C542" s="64"/>
      <c r="D542" s="292"/>
      <c r="E542" s="298"/>
      <c r="F542" s="279"/>
      <c r="G542" s="561"/>
      <c r="H542" s="553"/>
      <c r="J542" s="613"/>
      <c r="K542" s="561"/>
      <c r="L542" s="561"/>
      <c r="M542" s="561"/>
      <c r="N542" s="561"/>
      <c r="O542" s="561"/>
      <c r="P542" s="561"/>
      <c r="Q542" s="561"/>
      <c r="R542" s="561"/>
      <c r="S542" s="561"/>
      <c r="T542" s="561"/>
      <c r="U542" s="561"/>
      <c r="V542" s="561"/>
      <c r="W542" s="553"/>
      <c r="Y542" s="287"/>
      <c r="Z542" s="287"/>
    </row>
    <row r="543" spans="3:26" s="63" customFormat="1" ht="12" x14ac:dyDescent="0.2">
      <c r="C543" s="64"/>
      <c r="D543" s="292"/>
      <c r="E543" s="298"/>
      <c r="F543" s="279"/>
      <c r="G543" s="561"/>
      <c r="H543" s="553"/>
      <c r="J543" s="613"/>
      <c r="K543" s="561"/>
      <c r="L543" s="561"/>
      <c r="M543" s="561"/>
      <c r="N543" s="561"/>
      <c r="O543" s="561"/>
      <c r="P543" s="561"/>
      <c r="Q543" s="561"/>
      <c r="R543" s="561"/>
      <c r="S543" s="561"/>
      <c r="T543" s="561"/>
      <c r="U543" s="561"/>
      <c r="V543" s="561"/>
      <c r="W543" s="553"/>
      <c r="Y543" s="287"/>
      <c r="Z543" s="287"/>
    </row>
    <row r="544" spans="3:26" s="63" customFormat="1" ht="12" x14ac:dyDescent="0.2">
      <c r="C544" s="64"/>
      <c r="D544" s="292"/>
      <c r="E544" s="298"/>
      <c r="F544" s="279"/>
      <c r="G544" s="561"/>
      <c r="H544" s="553"/>
      <c r="J544" s="613"/>
      <c r="K544" s="561"/>
      <c r="L544" s="561"/>
      <c r="M544" s="561"/>
      <c r="N544" s="561"/>
      <c r="O544" s="561"/>
      <c r="P544" s="561"/>
      <c r="Q544" s="561"/>
      <c r="R544" s="561"/>
      <c r="S544" s="561"/>
      <c r="T544" s="561"/>
      <c r="U544" s="561"/>
      <c r="V544" s="561"/>
      <c r="W544" s="553"/>
      <c r="Y544" s="287"/>
      <c r="Z544" s="287"/>
    </row>
    <row r="545" spans="3:26" s="63" customFormat="1" ht="12" x14ac:dyDescent="0.2">
      <c r="C545" s="64"/>
      <c r="D545" s="292"/>
      <c r="E545" s="298"/>
      <c r="F545" s="279"/>
      <c r="G545" s="561"/>
      <c r="H545" s="553"/>
      <c r="J545" s="613"/>
      <c r="K545" s="561"/>
      <c r="L545" s="561"/>
      <c r="M545" s="561"/>
      <c r="N545" s="561"/>
      <c r="O545" s="561"/>
      <c r="P545" s="561"/>
      <c r="Q545" s="561"/>
      <c r="R545" s="561"/>
      <c r="S545" s="561"/>
      <c r="T545" s="561"/>
      <c r="U545" s="561"/>
      <c r="V545" s="561"/>
      <c r="W545" s="553"/>
      <c r="Y545" s="287"/>
      <c r="Z545" s="287"/>
    </row>
    <row r="546" spans="3:26" s="63" customFormat="1" ht="12" x14ac:dyDescent="0.2">
      <c r="C546" s="64"/>
      <c r="D546" s="292"/>
      <c r="E546" s="298"/>
      <c r="F546" s="279"/>
      <c r="G546" s="561"/>
      <c r="H546" s="553"/>
      <c r="J546" s="613"/>
      <c r="K546" s="561"/>
      <c r="L546" s="561"/>
      <c r="M546" s="561"/>
      <c r="N546" s="561"/>
      <c r="O546" s="561"/>
      <c r="P546" s="561"/>
      <c r="Q546" s="561"/>
      <c r="R546" s="561"/>
      <c r="S546" s="561"/>
      <c r="T546" s="561"/>
      <c r="U546" s="561"/>
      <c r="V546" s="561"/>
      <c r="W546" s="553"/>
      <c r="Y546" s="287"/>
      <c r="Z546" s="287"/>
    </row>
    <row r="547" spans="3:26" s="63" customFormat="1" ht="12" x14ac:dyDescent="0.2">
      <c r="C547" s="64"/>
      <c r="D547" s="292"/>
      <c r="E547" s="298"/>
      <c r="F547" s="279"/>
      <c r="G547" s="561"/>
      <c r="H547" s="553"/>
      <c r="J547" s="613"/>
      <c r="K547" s="561"/>
      <c r="L547" s="561"/>
      <c r="M547" s="561"/>
      <c r="N547" s="561"/>
      <c r="O547" s="561"/>
      <c r="P547" s="561"/>
      <c r="Q547" s="561"/>
      <c r="R547" s="561"/>
      <c r="S547" s="561"/>
      <c r="T547" s="561"/>
      <c r="U547" s="561"/>
      <c r="V547" s="561"/>
      <c r="W547" s="553"/>
      <c r="Y547" s="287"/>
      <c r="Z547" s="287"/>
    </row>
    <row r="548" spans="3:26" s="63" customFormat="1" ht="12" x14ac:dyDescent="0.2">
      <c r="C548" s="64"/>
      <c r="D548" s="292"/>
      <c r="E548" s="298"/>
      <c r="F548" s="279"/>
      <c r="G548" s="561"/>
      <c r="H548" s="553"/>
      <c r="J548" s="613"/>
      <c r="K548" s="561"/>
      <c r="L548" s="561"/>
      <c r="M548" s="561"/>
      <c r="N548" s="561"/>
      <c r="O548" s="561"/>
      <c r="P548" s="561"/>
      <c r="Q548" s="561"/>
      <c r="R548" s="561"/>
      <c r="S548" s="561"/>
      <c r="T548" s="561"/>
      <c r="U548" s="561"/>
      <c r="V548" s="561"/>
      <c r="W548" s="553"/>
      <c r="Y548" s="287"/>
      <c r="Z548" s="287"/>
    </row>
    <row r="549" spans="3:26" s="63" customFormat="1" ht="12" x14ac:dyDescent="0.2">
      <c r="C549" s="64"/>
      <c r="D549" s="292"/>
      <c r="E549" s="298"/>
      <c r="F549" s="279"/>
      <c r="G549" s="561"/>
      <c r="H549" s="553"/>
      <c r="J549" s="613"/>
      <c r="K549" s="561"/>
      <c r="L549" s="561"/>
      <c r="M549" s="561"/>
      <c r="N549" s="561"/>
      <c r="O549" s="561"/>
      <c r="P549" s="561"/>
      <c r="Q549" s="561"/>
      <c r="R549" s="561"/>
      <c r="S549" s="561"/>
      <c r="T549" s="561"/>
      <c r="U549" s="561"/>
      <c r="V549" s="561"/>
      <c r="W549" s="553"/>
      <c r="Y549" s="287"/>
      <c r="Z549" s="287"/>
    </row>
    <row r="550" spans="3:26" s="63" customFormat="1" ht="12" x14ac:dyDescent="0.2">
      <c r="C550" s="64"/>
      <c r="D550" s="292"/>
      <c r="E550" s="298"/>
      <c r="F550" s="279"/>
      <c r="G550" s="561"/>
      <c r="H550" s="553"/>
      <c r="J550" s="613"/>
      <c r="K550" s="561"/>
      <c r="L550" s="561"/>
      <c r="M550" s="561"/>
      <c r="N550" s="561"/>
      <c r="O550" s="561"/>
      <c r="P550" s="561"/>
      <c r="Q550" s="561"/>
      <c r="R550" s="561"/>
      <c r="S550" s="561"/>
      <c r="T550" s="561"/>
      <c r="U550" s="561"/>
      <c r="V550" s="561"/>
      <c r="W550" s="553"/>
      <c r="Y550" s="287"/>
      <c r="Z550" s="287"/>
    </row>
    <row r="551" spans="3:26" s="63" customFormat="1" ht="12" x14ac:dyDescent="0.2">
      <c r="C551" s="64"/>
      <c r="D551" s="292"/>
      <c r="E551" s="298"/>
      <c r="F551" s="279"/>
      <c r="G551" s="561"/>
      <c r="H551" s="553"/>
      <c r="J551" s="613"/>
      <c r="K551" s="561"/>
      <c r="L551" s="561"/>
      <c r="M551" s="561"/>
      <c r="N551" s="561"/>
      <c r="O551" s="561"/>
      <c r="P551" s="561"/>
      <c r="Q551" s="561"/>
      <c r="R551" s="561"/>
      <c r="S551" s="561"/>
      <c r="T551" s="561"/>
      <c r="U551" s="561"/>
      <c r="V551" s="561"/>
      <c r="W551" s="553"/>
      <c r="Y551" s="287"/>
      <c r="Z551" s="287"/>
    </row>
    <row r="552" spans="3:26" s="63" customFormat="1" ht="12" x14ac:dyDescent="0.2">
      <c r="C552" s="64"/>
      <c r="D552" s="292"/>
      <c r="E552" s="298"/>
      <c r="F552" s="279"/>
      <c r="G552" s="561"/>
      <c r="H552" s="553"/>
      <c r="J552" s="613"/>
      <c r="K552" s="561"/>
      <c r="L552" s="561"/>
      <c r="M552" s="561"/>
      <c r="N552" s="561"/>
      <c r="O552" s="561"/>
      <c r="P552" s="561"/>
      <c r="Q552" s="561"/>
      <c r="R552" s="561"/>
      <c r="S552" s="561"/>
      <c r="T552" s="561"/>
      <c r="U552" s="561"/>
      <c r="V552" s="561"/>
      <c r="W552" s="553"/>
      <c r="Y552" s="287"/>
      <c r="Z552" s="287"/>
    </row>
    <row r="553" spans="3:26" s="63" customFormat="1" ht="12" x14ac:dyDescent="0.2">
      <c r="C553" s="64"/>
      <c r="D553" s="292"/>
      <c r="E553" s="298"/>
      <c r="F553" s="279"/>
      <c r="G553" s="561"/>
      <c r="H553" s="553"/>
      <c r="J553" s="613"/>
      <c r="K553" s="561"/>
      <c r="L553" s="561"/>
      <c r="M553" s="561"/>
      <c r="N553" s="561"/>
      <c r="O553" s="561"/>
      <c r="P553" s="561"/>
      <c r="Q553" s="561"/>
      <c r="R553" s="561"/>
      <c r="S553" s="561"/>
      <c r="T553" s="561"/>
      <c r="U553" s="561"/>
      <c r="V553" s="561"/>
      <c r="W553" s="553"/>
      <c r="Y553" s="287"/>
      <c r="Z553" s="287"/>
    </row>
    <row r="554" spans="3:26" s="63" customFormat="1" ht="12" x14ac:dyDescent="0.2">
      <c r="C554" s="64"/>
      <c r="D554" s="292"/>
      <c r="E554" s="298"/>
      <c r="F554" s="279"/>
      <c r="G554" s="561"/>
      <c r="H554" s="553"/>
      <c r="J554" s="613"/>
      <c r="K554" s="561"/>
      <c r="L554" s="561"/>
      <c r="M554" s="561"/>
      <c r="N554" s="561"/>
      <c r="O554" s="561"/>
      <c r="P554" s="561"/>
      <c r="Q554" s="561"/>
      <c r="R554" s="561"/>
      <c r="S554" s="561"/>
      <c r="T554" s="561"/>
      <c r="U554" s="561"/>
      <c r="V554" s="561"/>
      <c r="W554" s="553"/>
      <c r="Y554" s="287"/>
      <c r="Z554" s="287"/>
    </row>
    <row r="555" spans="3:26" s="63" customFormat="1" ht="12" x14ac:dyDescent="0.2">
      <c r="C555" s="64"/>
      <c r="D555" s="292"/>
      <c r="E555" s="298"/>
      <c r="F555" s="279"/>
      <c r="G555" s="561"/>
      <c r="H555" s="553"/>
      <c r="J555" s="613"/>
      <c r="K555" s="561"/>
      <c r="L555" s="561"/>
      <c r="M555" s="561"/>
      <c r="N555" s="561"/>
      <c r="O555" s="561"/>
      <c r="P555" s="561"/>
      <c r="Q555" s="561"/>
      <c r="R555" s="561"/>
      <c r="S555" s="561"/>
      <c r="T555" s="561"/>
      <c r="U555" s="561"/>
      <c r="V555" s="561"/>
      <c r="W555" s="553"/>
      <c r="Y555" s="287"/>
      <c r="Z555" s="287"/>
    </row>
    <row r="556" spans="3:26" s="63" customFormat="1" ht="12" x14ac:dyDescent="0.2">
      <c r="C556" s="64"/>
      <c r="D556" s="292"/>
      <c r="E556" s="298"/>
      <c r="F556" s="279"/>
      <c r="G556" s="561"/>
      <c r="H556" s="553"/>
      <c r="J556" s="613"/>
      <c r="K556" s="561"/>
      <c r="L556" s="561"/>
      <c r="M556" s="561"/>
      <c r="N556" s="561"/>
      <c r="O556" s="561"/>
      <c r="P556" s="561"/>
      <c r="Q556" s="561"/>
      <c r="R556" s="561"/>
      <c r="S556" s="561"/>
      <c r="T556" s="561"/>
      <c r="U556" s="561"/>
      <c r="V556" s="561"/>
      <c r="W556" s="553"/>
      <c r="Y556" s="287"/>
      <c r="Z556" s="287"/>
    </row>
    <row r="557" spans="3:26" s="63" customFormat="1" ht="12" x14ac:dyDescent="0.2">
      <c r="C557" s="64"/>
      <c r="D557" s="292"/>
      <c r="E557" s="298"/>
      <c r="F557" s="279"/>
      <c r="G557" s="561"/>
      <c r="H557" s="553"/>
      <c r="J557" s="613"/>
      <c r="K557" s="561"/>
      <c r="L557" s="561"/>
      <c r="M557" s="561"/>
      <c r="N557" s="561"/>
      <c r="O557" s="561"/>
      <c r="P557" s="561"/>
      <c r="Q557" s="561"/>
      <c r="R557" s="561"/>
      <c r="S557" s="561"/>
      <c r="T557" s="561"/>
      <c r="U557" s="561"/>
      <c r="V557" s="561"/>
      <c r="W557" s="553"/>
      <c r="Y557" s="287"/>
      <c r="Z557" s="287"/>
    </row>
    <row r="558" spans="3:26" s="63" customFormat="1" ht="12" x14ac:dyDescent="0.2">
      <c r="C558" s="64"/>
      <c r="D558" s="292"/>
      <c r="E558" s="298"/>
      <c r="F558" s="279"/>
      <c r="G558" s="561"/>
      <c r="H558" s="553"/>
      <c r="J558" s="613"/>
      <c r="K558" s="561"/>
      <c r="L558" s="561"/>
      <c r="M558" s="561"/>
      <c r="N558" s="561"/>
      <c r="O558" s="561"/>
      <c r="P558" s="561"/>
      <c r="Q558" s="561"/>
      <c r="R558" s="561"/>
      <c r="S558" s="561"/>
      <c r="T558" s="561"/>
      <c r="U558" s="561"/>
      <c r="V558" s="561"/>
      <c r="W558" s="553"/>
      <c r="Y558" s="287"/>
      <c r="Z558" s="287"/>
    </row>
    <row r="559" spans="3:26" s="63" customFormat="1" ht="12" x14ac:dyDescent="0.2">
      <c r="C559" s="64"/>
      <c r="D559" s="292"/>
      <c r="E559" s="298"/>
      <c r="F559" s="279"/>
      <c r="G559" s="561"/>
      <c r="H559" s="553"/>
      <c r="J559" s="613"/>
      <c r="K559" s="561"/>
      <c r="L559" s="561"/>
      <c r="M559" s="561"/>
      <c r="N559" s="561"/>
      <c r="O559" s="561"/>
      <c r="P559" s="561"/>
      <c r="Q559" s="561"/>
      <c r="R559" s="561"/>
      <c r="S559" s="561"/>
      <c r="T559" s="561"/>
      <c r="U559" s="561"/>
      <c r="V559" s="561"/>
      <c r="W559" s="553"/>
      <c r="Y559" s="287"/>
      <c r="Z559" s="287"/>
    </row>
    <row r="560" spans="3:26" s="63" customFormat="1" ht="12" x14ac:dyDescent="0.2">
      <c r="C560" s="64"/>
      <c r="D560" s="292"/>
      <c r="E560" s="298"/>
      <c r="F560" s="279"/>
      <c r="G560" s="561"/>
      <c r="H560" s="553"/>
      <c r="J560" s="613"/>
      <c r="K560" s="561"/>
      <c r="L560" s="561"/>
      <c r="M560" s="561"/>
      <c r="N560" s="561"/>
      <c r="O560" s="561"/>
      <c r="P560" s="561"/>
      <c r="Q560" s="561"/>
      <c r="R560" s="561"/>
      <c r="S560" s="561"/>
      <c r="T560" s="561"/>
      <c r="U560" s="561"/>
      <c r="V560" s="561"/>
      <c r="W560" s="553"/>
      <c r="Y560" s="287"/>
      <c r="Z560" s="287"/>
    </row>
    <row r="561" spans="3:26" s="63" customFormat="1" ht="12" x14ac:dyDescent="0.2">
      <c r="C561" s="64"/>
      <c r="D561" s="292"/>
      <c r="E561" s="298"/>
      <c r="F561" s="279"/>
      <c r="G561" s="561"/>
      <c r="H561" s="553"/>
      <c r="J561" s="613"/>
      <c r="K561" s="561"/>
      <c r="L561" s="561"/>
      <c r="M561" s="561"/>
      <c r="N561" s="561"/>
      <c r="O561" s="561"/>
      <c r="P561" s="561"/>
      <c r="Q561" s="561"/>
      <c r="R561" s="561"/>
      <c r="S561" s="561"/>
      <c r="T561" s="561"/>
      <c r="U561" s="561"/>
      <c r="V561" s="561"/>
      <c r="W561" s="553"/>
      <c r="Y561" s="287"/>
      <c r="Z561" s="287"/>
    </row>
    <row r="562" spans="3:26" s="63" customFormat="1" ht="12" x14ac:dyDescent="0.2">
      <c r="C562" s="64"/>
      <c r="D562" s="292"/>
      <c r="E562" s="298"/>
      <c r="F562" s="279"/>
      <c r="G562" s="561"/>
      <c r="H562" s="553"/>
      <c r="J562" s="613"/>
      <c r="K562" s="561"/>
      <c r="L562" s="561"/>
      <c r="M562" s="561"/>
      <c r="N562" s="561"/>
      <c r="O562" s="561"/>
      <c r="P562" s="561"/>
      <c r="Q562" s="561"/>
      <c r="R562" s="561"/>
      <c r="S562" s="561"/>
      <c r="T562" s="561"/>
      <c r="U562" s="561"/>
      <c r="V562" s="561"/>
      <c r="W562" s="553"/>
      <c r="Y562" s="287"/>
      <c r="Z562" s="287"/>
    </row>
    <row r="563" spans="3:26" s="63" customFormat="1" ht="12" x14ac:dyDescent="0.2">
      <c r="C563" s="64"/>
      <c r="D563" s="292"/>
      <c r="E563" s="298"/>
      <c r="F563" s="279"/>
      <c r="G563" s="561"/>
      <c r="H563" s="553"/>
      <c r="J563" s="613"/>
      <c r="K563" s="561"/>
      <c r="L563" s="561"/>
      <c r="M563" s="561"/>
      <c r="N563" s="561"/>
      <c r="O563" s="561"/>
      <c r="P563" s="561"/>
      <c r="Q563" s="561"/>
      <c r="R563" s="561"/>
      <c r="S563" s="561"/>
      <c r="T563" s="561"/>
      <c r="U563" s="561"/>
      <c r="V563" s="561"/>
      <c r="W563" s="553"/>
      <c r="Y563" s="287"/>
      <c r="Z563" s="287"/>
    </row>
    <row r="564" spans="3:26" s="63" customFormat="1" ht="12" x14ac:dyDescent="0.2">
      <c r="C564" s="64"/>
      <c r="D564" s="292"/>
      <c r="E564" s="298"/>
      <c r="F564" s="279"/>
      <c r="G564" s="561"/>
      <c r="H564" s="553"/>
      <c r="J564" s="613"/>
      <c r="K564" s="561"/>
      <c r="L564" s="561"/>
      <c r="M564" s="561"/>
      <c r="N564" s="561"/>
      <c r="O564" s="561"/>
      <c r="P564" s="561"/>
      <c r="Q564" s="561"/>
      <c r="R564" s="561"/>
      <c r="S564" s="561"/>
      <c r="T564" s="561"/>
      <c r="U564" s="561"/>
      <c r="V564" s="561"/>
      <c r="W564" s="553"/>
      <c r="Y564" s="287"/>
      <c r="Z564" s="287"/>
    </row>
    <row r="565" spans="3:26" s="63" customFormat="1" ht="12" x14ac:dyDescent="0.2">
      <c r="C565" s="64"/>
      <c r="D565" s="292"/>
      <c r="E565" s="298"/>
      <c r="F565" s="279"/>
      <c r="G565" s="561"/>
      <c r="H565" s="553"/>
      <c r="J565" s="613"/>
      <c r="K565" s="561"/>
      <c r="L565" s="561"/>
      <c r="M565" s="561"/>
      <c r="N565" s="561"/>
      <c r="O565" s="561"/>
      <c r="P565" s="561"/>
      <c r="Q565" s="561"/>
      <c r="R565" s="561"/>
      <c r="S565" s="561"/>
      <c r="T565" s="561"/>
      <c r="U565" s="561"/>
      <c r="V565" s="561"/>
      <c r="W565" s="553"/>
      <c r="Y565" s="287"/>
      <c r="Z565" s="287"/>
    </row>
    <row r="566" spans="3:26" s="63" customFormat="1" ht="12" x14ac:dyDescent="0.2">
      <c r="C566" s="64"/>
      <c r="D566" s="292"/>
      <c r="E566" s="298"/>
      <c r="F566" s="279"/>
      <c r="G566" s="561"/>
      <c r="H566" s="553"/>
      <c r="J566" s="613"/>
      <c r="K566" s="561"/>
      <c r="L566" s="561"/>
      <c r="M566" s="561"/>
      <c r="N566" s="561"/>
      <c r="O566" s="561"/>
      <c r="P566" s="561"/>
      <c r="Q566" s="561"/>
      <c r="R566" s="561"/>
      <c r="S566" s="561"/>
      <c r="T566" s="561"/>
      <c r="U566" s="561"/>
      <c r="V566" s="561"/>
      <c r="W566" s="553"/>
      <c r="Y566" s="287"/>
      <c r="Z566" s="287"/>
    </row>
    <row r="567" spans="3:26" s="63" customFormat="1" ht="12" x14ac:dyDescent="0.2">
      <c r="C567" s="64"/>
      <c r="D567" s="292"/>
      <c r="E567" s="298"/>
      <c r="F567" s="279"/>
      <c r="G567" s="561"/>
      <c r="H567" s="553"/>
      <c r="J567" s="613"/>
      <c r="K567" s="561"/>
      <c r="L567" s="561"/>
      <c r="M567" s="561"/>
      <c r="N567" s="561"/>
      <c r="O567" s="561"/>
      <c r="P567" s="561"/>
      <c r="Q567" s="561"/>
      <c r="R567" s="561"/>
      <c r="S567" s="561"/>
      <c r="T567" s="561"/>
      <c r="U567" s="561"/>
      <c r="V567" s="561"/>
      <c r="W567" s="553"/>
      <c r="Y567" s="287"/>
      <c r="Z567" s="287"/>
    </row>
    <row r="568" spans="3:26" s="63" customFormat="1" ht="12" x14ac:dyDescent="0.2">
      <c r="C568" s="64"/>
      <c r="D568" s="292"/>
      <c r="E568" s="298"/>
      <c r="F568" s="279"/>
      <c r="G568" s="561"/>
      <c r="H568" s="553"/>
      <c r="J568" s="613"/>
      <c r="K568" s="561"/>
      <c r="L568" s="561"/>
      <c r="M568" s="561"/>
      <c r="N568" s="561"/>
      <c r="O568" s="561"/>
      <c r="P568" s="561"/>
      <c r="Q568" s="561"/>
      <c r="R568" s="561"/>
      <c r="S568" s="561"/>
      <c r="T568" s="561"/>
      <c r="U568" s="561"/>
      <c r="V568" s="561"/>
      <c r="W568" s="553"/>
      <c r="Y568" s="287"/>
      <c r="Z568" s="287"/>
    </row>
    <row r="569" spans="3:26" s="63" customFormat="1" ht="12" x14ac:dyDescent="0.2">
      <c r="C569" s="64"/>
      <c r="D569" s="292"/>
      <c r="E569" s="298"/>
      <c r="F569" s="279"/>
      <c r="G569" s="561"/>
      <c r="H569" s="553"/>
      <c r="J569" s="613"/>
      <c r="K569" s="561"/>
      <c r="L569" s="561"/>
      <c r="M569" s="561"/>
      <c r="N569" s="561"/>
      <c r="O569" s="561"/>
      <c r="P569" s="561"/>
      <c r="Q569" s="561"/>
      <c r="R569" s="561"/>
      <c r="S569" s="561"/>
      <c r="T569" s="561"/>
      <c r="U569" s="561"/>
      <c r="V569" s="561"/>
      <c r="W569" s="553"/>
      <c r="Y569" s="287"/>
      <c r="Z569" s="287"/>
    </row>
    <row r="570" spans="3:26" s="63" customFormat="1" ht="12" x14ac:dyDescent="0.2">
      <c r="C570" s="64"/>
      <c r="D570" s="292"/>
      <c r="E570" s="298"/>
      <c r="F570" s="279"/>
      <c r="G570" s="561"/>
      <c r="H570" s="553"/>
      <c r="J570" s="613"/>
      <c r="K570" s="561"/>
      <c r="L570" s="561"/>
      <c r="M570" s="561"/>
      <c r="N570" s="561"/>
      <c r="O570" s="561"/>
      <c r="P570" s="561"/>
      <c r="Q570" s="561"/>
      <c r="R570" s="561"/>
      <c r="S570" s="561"/>
      <c r="T570" s="561"/>
      <c r="U570" s="561"/>
      <c r="V570" s="561"/>
      <c r="W570" s="553"/>
      <c r="Y570" s="287"/>
      <c r="Z570" s="287"/>
    </row>
    <row r="571" spans="3:26" s="63" customFormat="1" ht="12" x14ac:dyDescent="0.2">
      <c r="C571" s="64"/>
      <c r="D571" s="292"/>
      <c r="E571" s="298"/>
      <c r="F571" s="279"/>
      <c r="G571" s="561"/>
      <c r="H571" s="553"/>
      <c r="J571" s="613"/>
      <c r="K571" s="561"/>
      <c r="L571" s="561"/>
      <c r="M571" s="561"/>
      <c r="N571" s="561"/>
      <c r="O571" s="561"/>
      <c r="P571" s="561"/>
      <c r="Q571" s="561"/>
      <c r="R571" s="561"/>
      <c r="S571" s="561"/>
      <c r="T571" s="561"/>
      <c r="U571" s="561"/>
      <c r="V571" s="561"/>
      <c r="W571" s="553"/>
      <c r="Y571" s="287"/>
      <c r="Z571" s="287"/>
    </row>
    <row r="572" spans="3:26" s="63" customFormat="1" ht="12" x14ac:dyDescent="0.2">
      <c r="C572" s="64"/>
      <c r="D572" s="292"/>
      <c r="E572" s="298"/>
      <c r="F572" s="279"/>
      <c r="G572" s="561"/>
      <c r="H572" s="553"/>
      <c r="J572" s="613"/>
      <c r="K572" s="561"/>
      <c r="L572" s="561"/>
      <c r="M572" s="561"/>
      <c r="N572" s="561"/>
      <c r="O572" s="561"/>
      <c r="P572" s="561"/>
      <c r="Q572" s="561"/>
      <c r="R572" s="561"/>
      <c r="S572" s="561"/>
      <c r="T572" s="561"/>
      <c r="U572" s="561"/>
      <c r="V572" s="561"/>
      <c r="W572" s="553"/>
      <c r="Y572" s="287"/>
      <c r="Z572" s="287"/>
    </row>
    <row r="573" spans="3:26" s="63" customFormat="1" ht="12" x14ac:dyDescent="0.2">
      <c r="C573" s="64"/>
      <c r="D573" s="292"/>
      <c r="E573" s="298"/>
      <c r="F573" s="279"/>
      <c r="G573" s="561"/>
      <c r="H573" s="553"/>
      <c r="J573" s="613"/>
      <c r="K573" s="561"/>
      <c r="L573" s="561"/>
      <c r="M573" s="561"/>
      <c r="N573" s="561"/>
      <c r="O573" s="561"/>
      <c r="P573" s="561"/>
      <c r="Q573" s="561"/>
      <c r="R573" s="561"/>
      <c r="S573" s="561"/>
      <c r="T573" s="561"/>
      <c r="U573" s="561"/>
      <c r="V573" s="561"/>
      <c r="W573" s="553"/>
      <c r="Y573" s="287"/>
      <c r="Z573" s="287"/>
    </row>
    <row r="574" spans="3:26" s="63" customFormat="1" ht="12" x14ac:dyDescent="0.2">
      <c r="C574" s="64"/>
      <c r="D574" s="292"/>
      <c r="E574" s="298"/>
      <c r="F574" s="279"/>
      <c r="G574" s="561"/>
      <c r="H574" s="553"/>
      <c r="J574" s="613"/>
      <c r="K574" s="561"/>
      <c r="L574" s="561"/>
      <c r="M574" s="561"/>
      <c r="N574" s="561"/>
      <c r="O574" s="561"/>
      <c r="P574" s="561"/>
      <c r="Q574" s="561"/>
      <c r="R574" s="561"/>
      <c r="S574" s="561"/>
      <c r="T574" s="561"/>
      <c r="U574" s="561"/>
      <c r="V574" s="561"/>
      <c r="W574" s="553"/>
      <c r="Y574" s="287"/>
      <c r="Z574" s="287"/>
    </row>
    <row r="575" spans="3:26" s="63" customFormat="1" ht="12" x14ac:dyDescent="0.2">
      <c r="C575" s="64"/>
      <c r="D575" s="292"/>
      <c r="E575" s="298"/>
      <c r="F575" s="279"/>
      <c r="G575" s="561"/>
      <c r="H575" s="553"/>
      <c r="J575" s="613"/>
      <c r="K575" s="561"/>
      <c r="L575" s="561"/>
      <c r="M575" s="561"/>
      <c r="N575" s="561"/>
      <c r="O575" s="561"/>
      <c r="P575" s="561"/>
      <c r="Q575" s="561"/>
      <c r="R575" s="561"/>
      <c r="S575" s="561"/>
      <c r="T575" s="561"/>
      <c r="U575" s="561"/>
      <c r="V575" s="561"/>
      <c r="W575" s="553"/>
      <c r="Y575" s="287"/>
      <c r="Z575" s="287"/>
    </row>
    <row r="576" spans="3:26" s="63" customFormat="1" ht="12" x14ac:dyDescent="0.2">
      <c r="C576" s="64"/>
      <c r="D576" s="292"/>
      <c r="E576" s="298"/>
      <c r="F576" s="279"/>
      <c r="G576" s="561"/>
      <c r="H576" s="553"/>
      <c r="J576" s="613"/>
      <c r="K576" s="561"/>
      <c r="L576" s="561"/>
      <c r="M576" s="561"/>
      <c r="N576" s="561"/>
      <c r="O576" s="561"/>
      <c r="P576" s="561"/>
      <c r="Q576" s="561"/>
      <c r="R576" s="561"/>
      <c r="S576" s="561"/>
      <c r="T576" s="561"/>
      <c r="U576" s="561"/>
      <c r="V576" s="561"/>
      <c r="W576" s="553"/>
      <c r="Y576" s="287"/>
      <c r="Z576" s="287"/>
    </row>
    <row r="577" spans="3:26" s="63" customFormat="1" ht="12" x14ac:dyDescent="0.2">
      <c r="C577" s="64"/>
      <c r="D577" s="292"/>
      <c r="E577" s="298"/>
      <c r="F577" s="279"/>
      <c r="G577" s="561"/>
      <c r="H577" s="553"/>
      <c r="J577" s="613"/>
      <c r="K577" s="561"/>
      <c r="L577" s="561"/>
      <c r="M577" s="561"/>
      <c r="N577" s="561"/>
      <c r="O577" s="561"/>
      <c r="P577" s="561"/>
      <c r="Q577" s="561"/>
      <c r="R577" s="561"/>
      <c r="S577" s="561"/>
      <c r="T577" s="561"/>
      <c r="U577" s="561"/>
      <c r="V577" s="561"/>
      <c r="W577" s="553"/>
      <c r="Y577" s="287"/>
      <c r="Z577" s="287"/>
    </row>
    <row r="578" spans="3:26" s="63" customFormat="1" ht="12" x14ac:dyDescent="0.2">
      <c r="C578" s="64"/>
      <c r="D578" s="292"/>
      <c r="E578" s="298"/>
      <c r="F578" s="279"/>
      <c r="G578" s="561"/>
      <c r="H578" s="553"/>
      <c r="J578" s="613"/>
      <c r="K578" s="561"/>
      <c r="L578" s="561"/>
      <c r="M578" s="561"/>
      <c r="N578" s="561"/>
      <c r="O578" s="561"/>
      <c r="P578" s="561"/>
      <c r="Q578" s="561"/>
      <c r="R578" s="561"/>
      <c r="S578" s="561"/>
      <c r="T578" s="561"/>
      <c r="U578" s="561"/>
      <c r="V578" s="561"/>
      <c r="W578" s="553"/>
      <c r="Y578" s="287"/>
      <c r="Z578" s="287"/>
    </row>
    <row r="579" spans="3:26" s="63" customFormat="1" ht="12" x14ac:dyDescent="0.2">
      <c r="C579" s="64"/>
      <c r="D579" s="292"/>
      <c r="E579" s="298"/>
      <c r="F579" s="279"/>
      <c r="G579" s="561"/>
      <c r="H579" s="553"/>
      <c r="J579" s="613"/>
      <c r="K579" s="561"/>
      <c r="L579" s="561"/>
      <c r="M579" s="561"/>
      <c r="N579" s="561"/>
      <c r="O579" s="561"/>
      <c r="P579" s="561"/>
      <c r="Q579" s="561"/>
      <c r="R579" s="561"/>
      <c r="S579" s="561"/>
      <c r="T579" s="561"/>
      <c r="U579" s="561"/>
      <c r="V579" s="561"/>
      <c r="W579" s="553"/>
      <c r="Y579" s="287"/>
      <c r="Z579" s="287"/>
    </row>
    <row r="580" spans="3:26" s="63" customFormat="1" ht="12" x14ac:dyDescent="0.2">
      <c r="C580" s="64"/>
      <c r="D580" s="292"/>
      <c r="E580" s="298"/>
      <c r="F580" s="279"/>
      <c r="G580" s="561"/>
      <c r="H580" s="553"/>
      <c r="J580" s="613"/>
      <c r="K580" s="561"/>
      <c r="L580" s="561"/>
      <c r="M580" s="561"/>
      <c r="N580" s="561"/>
      <c r="O580" s="561"/>
      <c r="P580" s="561"/>
      <c r="Q580" s="561"/>
      <c r="R580" s="561"/>
      <c r="S580" s="561"/>
      <c r="T580" s="561"/>
      <c r="U580" s="561"/>
      <c r="V580" s="561"/>
      <c r="W580" s="553"/>
      <c r="Y580" s="287"/>
      <c r="Z580" s="287"/>
    </row>
    <row r="581" spans="3:26" s="63" customFormat="1" ht="12" x14ac:dyDescent="0.2">
      <c r="C581" s="64"/>
      <c r="D581" s="292"/>
      <c r="E581" s="298"/>
      <c r="F581" s="279"/>
      <c r="G581" s="561"/>
      <c r="H581" s="553"/>
      <c r="J581" s="613"/>
      <c r="K581" s="561"/>
      <c r="L581" s="561"/>
      <c r="M581" s="561"/>
      <c r="N581" s="561"/>
      <c r="O581" s="561"/>
      <c r="P581" s="561"/>
      <c r="Q581" s="561"/>
      <c r="R581" s="561"/>
      <c r="S581" s="561"/>
      <c r="T581" s="561"/>
      <c r="U581" s="561"/>
      <c r="V581" s="561"/>
      <c r="W581" s="553"/>
      <c r="Y581" s="287"/>
      <c r="Z581" s="287"/>
    </row>
    <row r="582" spans="3:26" s="63" customFormat="1" ht="12" x14ac:dyDescent="0.2">
      <c r="C582" s="64"/>
      <c r="D582" s="292"/>
      <c r="E582" s="298"/>
      <c r="F582" s="279"/>
      <c r="G582" s="561"/>
      <c r="H582" s="553"/>
      <c r="J582" s="613"/>
      <c r="K582" s="561"/>
      <c r="L582" s="561"/>
      <c r="M582" s="561"/>
      <c r="N582" s="561"/>
      <c r="O582" s="561"/>
      <c r="P582" s="561"/>
      <c r="Q582" s="561"/>
      <c r="R582" s="561"/>
      <c r="S582" s="561"/>
      <c r="T582" s="561"/>
      <c r="U582" s="561"/>
      <c r="V582" s="561"/>
      <c r="W582" s="553"/>
      <c r="Y582" s="287"/>
      <c r="Z582" s="287"/>
    </row>
    <row r="583" spans="3:26" s="63" customFormat="1" ht="12" x14ac:dyDescent="0.2">
      <c r="C583" s="64"/>
      <c r="D583" s="292"/>
      <c r="E583" s="298"/>
      <c r="F583" s="279"/>
      <c r="G583" s="561"/>
      <c r="H583" s="553"/>
      <c r="J583" s="613"/>
      <c r="K583" s="561"/>
      <c r="L583" s="561"/>
      <c r="M583" s="561"/>
      <c r="N583" s="561"/>
      <c r="O583" s="561"/>
      <c r="P583" s="561"/>
      <c r="Q583" s="561"/>
      <c r="R583" s="561"/>
      <c r="S583" s="561"/>
      <c r="T583" s="561"/>
      <c r="U583" s="561"/>
      <c r="V583" s="561"/>
      <c r="W583" s="553"/>
      <c r="Y583" s="287"/>
      <c r="Z583" s="287"/>
    </row>
    <row r="584" spans="3:26" s="63" customFormat="1" ht="12" x14ac:dyDescent="0.2">
      <c r="C584" s="64"/>
      <c r="D584" s="292"/>
      <c r="E584" s="298"/>
      <c r="F584" s="279"/>
      <c r="G584" s="561"/>
      <c r="H584" s="553"/>
      <c r="J584" s="613"/>
      <c r="K584" s="561"/>
      <c r="L584" s="561"/>
      <c r="M584" s="561"/>
      <c r="N584" s="561"/>
      <c r="O584" s="561"/>
      <c r="P584" s="561"/>
      <c r="Q584" s="561"/>
      <c r="R584" s="561"/>
      <c r="S584" s="561"/>
      <c r="T584" s="561"/>
      <c r="U584" s="561"/>
      <c r="V584" s="561"/>
      <c r="W584" s="553"/>
      <c r="Y584" s="287"/>
      <c r="Z584" s="287"/>
    </row>
    <row r="585" spans="3:26" s="63" customFormat="1" ht="12" x14ac:dyDescent="0.2">
      <c r="C585" s="64"/>
      <c r="D585" s="292"/>
      <c r="E585" s="298"/>
      <c r="F585" s="279"/>
      <c r="G585" s="561"/>
      <c r="H585" s="553"/>
      <c r="J585" s="613"/>
      <c r="K585" s="561"/>
      <c r="L585" s="561"/>
      <c r="M585" s="561"/>
      <c r="N585" s="561"/>
      <c r="O585" s="561"/>
      <c r="P585" s="561"/>
      <c r="Q585" s="561"/>
      <c r="R585" s="561"/>
      <c r="S585" s="561"/>
      <c r="T585" s="561"/>
      <c r="U585" s="561"/>
      <c r="V585" s="561"/>
      <c r="W585" s="553"/>
      <c r="Y585" s="287"/>
      <c r="Z585" s="287"/>
    </row>
    <row r="586" spans="3:26" s="63" customFormat="1" ht="12" x14ac:dyDescent="0.2">
      <c r="C586" s="64"/>
      <c r="D586" s="292"/>
      <c r="E586" s="298"/>
      <c r="F586" s="279"/>
      <c r="G586" s="561"/>
      <c r="H586" s="553"/>
      <c r="J586" s="613"/>
      <c r="K586" s="561"/>
      <c r="L586" s="561"/>
      <c r="M586" s="561"/>
      <c r="N586" s="561"/>
      <c r="O586" s="561"/>
      <c r="P586" s="561"/>
      <c r="Q586" s="561"/>
      <c r="R586" s="561"/>
      <c r="S586" s="561"/>
      <c r="T586" s="561"/>
      <c r="U586" s="561"/>
      <c r="V586" s="561"/>
      <c r="W586" s="553"/>
      <c r="Y586" s="287"/>
      <c r="Z586" s="287"/>
    </row>
    <row r="587" spans="3:26" s="63" customFormat="1" ht="12" x14ac:dyDescent="0.2">
      <c r="C587" s="64"/>
      <c r="D587" s="292"/>
      <c r="E587" s="298"/>
      <c r="F587" s="279"/>
      <c r="G587" s="561"/>
      <c r="H587" s="553"/>
      <c r="J587" s="613"/>
      <c r="K587" s="561"/>
      <c r="L587" s="561"/>
      <c r="M587" s="561"/>
      <c r="N587" s="561"/>
      <c r="O587" s="561"/>
      <c r="P587" s="561"/>
      <c r="Q587" s="561"/>
      <c r="R587" s="561"/>
      <c r="S587" s="561"/>
      <c r="T587" s="561"/>
      <c r="U587" s="561"/>
      <c r="V587" s="561"/>
      <c r="W587" s="553"/>
      <c r="Y587" s="287"/>
      <c r="Z587" s="287"/>
    </row>
    <row r="588" spans="3:26" s="63" customFormat="1" ht="12" x14ac:dyDescent="0.2">
      <c r="C588" s="64"/>
      <c r="D588" s="292"/>
      <c r="E588" s="298"/>
      <c r="F588" s="279"/>
      <c r="G588" s="561"/>
      <c r="H588" s="553"/>
      <c r="J588" s="613"/>
      <c r="K588" s="561"/>
      <c r="L588" s="561"/>
      <c r="M588" s="561"/>
      <c r="N588" s="561"/>
      <c r="O588" s="561"/>
      <c r="P588" s="561"/>
      <c r="Q588" s="561"/>
      <c r="R588" s="561"/>
      <c r="S588" s="561"/>
      <c r="T588" s="561"/>
      <c r="U588" s="561"/>
      <c r="V588" s="561"/>
      <c r="W588" s="553"/>
      <c r="Y588" s="287"/>
      <c r="Z588" s="287"/>
    </row>
    <row r="589" spans="3:26" s="63" customFormat="1" ht="12" x14ac:dyDescent="0.2">
      <c r="C589" s="64"/>
      <c r="D589" s="292"/>
      <c r="E589" s="298"/>
      <c r="F589" s="279"/>
      <c r="G589" s="561"/>
      <c r="H589" s="553"/>
      <c r="J589" s="613"/>
      <c r="K589" s="561"/>
      <c r="L589" s="561"/>
      <c r="M589" s="561"/>
      <c r="N589" s="561"/>
      <c r="O589" s="561"/>
      <c r="P589" s="561"/>
      <c r="Q589" s="561"/>
      <c r="R589" s="561"/>
      <c r="S589" s="561"/>
      <c r="T589" s="561"/>
      <c r="U589" s="561"/>
      <c r="V589" s="561"/>
      <c r="W589" s="553"/>
      <c r="Y589" s="287"/>
      <c r="Z589" s="287"/>
    </row>
    <row r="590" spans="3:26" s="63" customFormat="1" ht="12" x14ac:dyDescent="0.2">
      <c r="C590" s="64"/>
      <c r="D590" s="292"/>
      <c r="E590" s="298"/>
      <c r="F590" s="279"/>
      <c r="G590" s="561"/>
      <c r="H590" s="553"/>
      <c r="J590" s="613"/>
      <c r="K590" s="561"/>
      <c r="L590" s="561"/>
      <c r="M590" s="561"/>
      <c r="N590" s="561"/>
      <c r="O590" s="561"/>
      <c r="P590" s="561"/>
      <c r="Q590" s="561"/>
      <c r="R590" s="561"/>
      <c r="S590" s="561"/>
      <c r="T590" s="561"/>
      <c r="U590" s="561"/>
      <c r="V590" s="561"/>
      <c r="W590" s="553"/>
      <c r="Y590" s="287"/>
      <c r="Z590" s="287"/>
    </row>
    <row r="591" spans="3:26" s="63" customFormat="1" ht="12" x14ac:dyDescent="0.2">
      <c r="C591" s="64"/>
      <c r="D591" s="292"/>
      <c r="E591" s="298"/>
      <c r="F591" s="279"/>
      <c r="G591" s="561"/>
      <c r="H591" s="553"/>
      <c r="J591" s="613"/>
      <c r="K591" s="561"/>
      <c r="L591" s="561"/>
      <c r="M591" s="561"/>
      <c r="N591" s="561"/>
      <c r="O591" s="561"/>
      <c r="P591" s="561"/>
      <c r="Q591" s="561"/>
      <c r="R591" s="561"/>
      <c r="S591" s="561"/>
      <c r="T591" s="561"/>
      <c r="U591" s="561"/>
      <c r="V591" s="561"/>
      <c r="W591" s="553"/>
      <c r="Y591" s="287"/>
      <c r="Z591" s="287"/>
    </row>
    <row r="592" spans="3:26" s="63" customFormat="1" ht="12" x14ac:dyDescent="0.2">
      <c r="C592" s="64"/>
      <c r="D592" s="292"/>
      <c r="E592" s="298"/>
      <c r="F592" s="279"/>
      <c r="G592" s="561"/>
      <c r="H592" s="553"/>
      <c r="J592" s="613"/>
      <c r="K592" s="561"/>
      <c r="L592" s="561"/>
      <c r="M592" s="561"/>
      <c r="N592" s="561"/>
      <c r="O592" s="561"/>
      <c r="P592" s="561"/>
      <c r="Q592" s="561"/>
      <c r="R592" s="561"/>
      <c r="S592" s="561"/>
      <c r="T592" s="561"/>
      <c r="U592" s="561"/>
      <c r="V592" s="561"/>
      <c r="W592" s="553"/>
      <c r="Y592" s="287"/>
      <c r="Z592" s="287"/>
    </row>
    <row r="593" spans="3:26" s="63" customFormat="1" ht="12" x14ac:dyDescent="0.2">
      <c r="C593" s="64"/>
      <c r="D593" s="292"/>
      <c r="E593" s="298"/>
      <c r="F593" s="279"/>
      <c r="G593" s="561"/>
      <c r="H593" s="553"/>
      <c r="J593" s="613"/>
      <c r="K593" s="561"/>
      <c r="L593" s="561"/>
      <c r="M593" s="561"/>
      <c r="N593" s="561"/>
      <c r="O593" s="561"/>
      <c r="P593" s="561"/>
      <c r="Q593" s="561"/>
      <c r="R593" s="561"/>
      <c r="S593" s="561"/>
      <c r="T593" s="561"/>
      <c r="U593" s="561"/>
      <c r="V593" s="561"/>
      <c r="W593" s="553"/>
      <c r="Y593" s="287"/>
      <c r="Z593" s="287"/>
    </row>
    <row r="594" spans="3:26" s="63" customFormat="1" ht="12" x14ac:dyDescent="0.2">
      <c r="C594" s="64"/>
      <c r="D594" s="292"/>
      <c r="E594" s="298"/>
      <c r="F594" s="279"/>
      <c r="G594" s="561"/>
      <c r="H594" s="553"/>
      <c r="J594" s="613"/>
      <c r="K594" s="561"/>
      <c r="L594" s="561"/>
      <c r="M594" s="561"/>
      <c r="N594" s="561"/>
      <c r="O594" s="561"/>
      <c r="P594" s="561"/>
      <c r="Q594" s="561"/>
      <c r="R594" s="561"/>
      <c r="S594" s="561"/>
      <c r="T594" s="561"/>
      <c r="U594" s="561"/>
      <c r="V594" s="561"/>
      <c r="W594" s="553"/>
      <c r="Y594" s="287"/>
      <c r="Z594" s="287"/>
    </row>
    <row r="595" spans="3:26" s="63" customFormat="1" ht="12" x14ac:dyDescent="0.2">
      <c r="C595" s="64"/>
      <c r="D595" s="292"/>
      <c r="E595" s="298"/>
      <c r="F595" s="279"/>
      <c r="G595" s="561"/>
      <c r="H595" s="553"/>
      <c r="J595" s="613"/>
      <c r="K595" s="561"/>
      <c r="L595" s="561"/>
      <c r="M595" s="561"/>
      <c r="N595" s="561"/>
      <c r="O595" s="561"/>
      <c r="P595" s="561"/>
      <c r="Q595" s="561"/>
      <c r="R595" s="561"/>
      <c r="S595" s="561"/>
      <c r="T595" s="561"/>
      <c r="U595" s="561"/>
      <c r="V595" s="561"/>
      <c r="W595" s="553"/>
      <c r="Y595" s="287"/>
      <c r="Z595" s="287"/>
    </row>
    <row r="596" spans="3:26" s="63" customFormat="1" ht="12" x14ac:dyDescent="0.2">
      <c r="C596" s="64"/>
      <c r="D596" s="292"/>
      <c r="E596" s="298"/>
      <c r="F596" s="279"/>
      <c r="G596" s="561"/>
      <c r="H596" s="553"/>
      <c r="J596" s="613"/>
      <c r="K596" s="561"/>
      <c r="L596" s="561"/>
      <c r="M596" s="561"/>
      <c r="N596" s="561"/>
      <c r="O596" s="561"/>
      <c r="P596" s="561"/>
      <c r="Q596" s="561"/>
      <c r="R596" s="561"/>
      <c r="S596" s="561"/>
      <c r="T596" s="561"/>
      <c r="U596" s="561"/>
      <c r="V596" s="561"/>
      <c r="W596" s="553"/>
      <c r="Y596" s="287"/>
      <c r="Z596" s="287"/>
    </row>
    <row r="597" spans="3:26" s="63" customFormat="1" ht="12" x14ac:dyDescent="0.2">
      <c r="C597" s="64"/>
      <c r="D597" s="292"/>
      <c r="E597" s="298"/>
      <c r="F597" s="279"/>
      <c r="G597" s="561"/>
      <c r="H597" s="553"/>
      <c r="J597" s="613"/>
      <c r="K597" s="561"/>
      <c r="L597" s="561"/>
      <c r="M597" s="561"/>
      <c r="N597" s="561"/>
      <c r="O597" s="561"/>
      <c r="P597" s="561"/>
      <c r="Q597" s="561"/>
      <c r="R597" s="561"/>
      <c r="S597" s="561"/>
      <c r="T597" s="561"/>
      <c r="U597" s="561"/>
      <c r="V597" s="561"/>
      <c r="W597" s="553"/>
      <c r="Y597" s="287"/>
      <c r="Z597" s="287"/>
    </row>
    <row r="598" spans="3:26" s="63" customFormat="1" ht="12" x14ac:dyDescent="0.2">
      <c r="C598" s="64"/>
      <c r="D598" s="292"/>
      <c r="E598" s="298"/>
      <c r="F598" s="279"/>
      <c r="G598" s="561"/>
      <c r="H598" s="553"/>
      <c r="J598" s="613"/>
      <c r="K598" s="561"/>
      <c r="L598" s="561"/>
      <c r="M598" s="561"/>
      <c r="N598" s="561"/>
      <c r="O598" s="561"/>
      <c r="P598" s="561"/>
      <c r="Q598" s="561"/>
      <c r="R598" s="561"/>
      <c r="S598" s="561"/>
      <c r="T598" s="561"/>
      <c r="U598" s="561"/>
      <c r="V598" s="561"/>
      <c r="W598" s="553"/>
      <c r="Y598" s="287"/>
      <c r="Z598" s="287"/>
    </row>
    <row r="599" spans="3:26" s="63" customFormat="1" ht="12" x14ac:dyDescent="0.2">
      <c r="C599" s="64"/>
      <c r="D599" s="292"/>
      <c r="E599" s="298"/>
      <c r="F599" s="279"/>
      <c r="G599" s="561"/>
      <c r="H599" s="553"/>
      <c r="J599" s="613"/>
      <c r="K599" s="561"/>
      <c r="L599" s="561"/>
      <c r="M599" s="561"/>
      <c r="N599" s="561"/>
      <c r="O599" s="561"/>
      <c r="P599" s="561"/>
      <c r="Q599" s="561"/>
      <c r="R599" s="561"/>
      <c r="S599" s="561"/>
      <c r="T599" s="561"/>
      <c r="U599" s="561"/>
      <c r="V599" s="561"/>
      <c r="W599" s="553"/>
      <c r="Y599" s="287"/>
      <c r="Z599" s="287"/>
    </row>
    <row r="600" spans="3:26" s="63" customFormat="1" ht="12" x14ac:dyDescent="0.2">
      <c r="C600" s="64"/>
      <c r="D600" s="292"/>
      <c r="E600" s="298"/>
      <c r="F600" s="279"/>
      <c r="G600" s="561"/>
      <c r="H600" s="553"/>
      <c r="J600" s="613"/>
      <c r="K600" s="561"/>
      <c r="L600" s="561"/>
      <c r="M600" s="561"/>
      <c r="N600" s="561"/>
      <c r="O600" s="561"/>
      <c r="P600" s="561"/>
      <c r="Q600" s="561"/>
      <c r="R600" s="561"/>
      <c r="S600" s="561"/>
      <c r="T600" s="561"/>
      <c r="U600" s="561"/>
      <c r="V600" s="561"/>
      <c r="W600" s="553"/>
      <c r="Y600" s="287"/>
      <c r="Z600" s="287"/>
    </row>
    <row r="601" spans="3:26" s="63" customFormat="1" ht="12" x14ac:dyDescent="0.2">
      <c r="C601" s="64"/>
      <c r="D601" s="292"/>
      <c r="E601" s="298"/>
      <c r="F601" s="279"/>
      <c r="G601" s="561"/>
      <c r="H601" s="553"/>
      <c r="J601" s="613"/>
      <c r="K601" s="561"/>
      <c r="L601" s="561"/>
      <c r="M601" s="561"/>
      <c r="N601" s="561"/>
      <c r="O601" s="561"/>
      <c r="P601" s="561"/>
      <c r="Q601" s="561"/>
      <c r="R601" s="561"/>
      <c r="S601" s="561"/>
      <c r="T601" s="561"/>
      <c r="U601" s="561"/>
      <c r="V601" s="561"/>
      <c r="W601" s="553"/>
      <c r="Y601" s="287"/>
      <c r="Z601" s="287"/>
    </row>
    <row r="602" spans="3:26" s="63" customFormat="1" ht="12" x14ac:dyDescent="0.2">
      <c r="C602" s="64"/>
      <c r="D602" s="292"/>
      <c r="E602" s="298"/>
      <c r="F602" s="279"/>
      <c r="G602" s="561"/>
      <c r="H602" s="553"/>
      <c r="J602" s="613"/>
      <c r="K602" s="561"/>
      <c r="L602" s="561"/>
      <c r="M602" s="561"/>
      <c r="N602" s="561"/>
      <c r="O602" s="561"/>
      <c r="P602" s="561"/>
      <c r="Q602" s="561"/>
      <c r="R602" s="561"/>
      <c r="S602" s="561"/>
      <c r="T602" s="561"/>
      <c r="U602" s="561"/>
      <c r="V602" s="561"/>
      <c r="W602" s="553"/>
      <c r="Y602" s="287"/>
      <c r="Z602" s="287"/>
    </row>
    <row r="603" spans="3:26" s="63" customFormat="1" ht="12" x14ac:dyDescent="0.2">
      <c r="C603" s="64"/>
      <c r="D603" s="292"/>
      <c r="E603" s="298"/>
      <c r="F603" s="279"/>
      <c r="G603" s="561"/>
      <c r="H603" s="553"/>
      <c r="J603" s="613"/>
      <c r="K603" s="561"/>
      <c r="L603" s="561"/>
      <c r="M603" s="561"/>
      <c r="N603" s="561"/>
      <c r="O603" s="561"/>
      <c r="P603" s="561"/>
      <c r="Q603" s="561"/>
      <c r="R603" s="561"/>
      <c r="S603" s="561"/>
      <c r="T603" s="561"/>
      <c r="U603" s="561"/>
      <c r="V603" s="561"/>
      <c r="W603" s="553"/>
      <c r="Y603" s="287"/>
      <c r="Z603" s="287"/>
    </row>
    <row r="604" spans="3:26" s="63" customFormat="1" ht="12" x14ac:dyDescent="0.2">
      <c r="C604" s="64"/>
      <c r="D604" s="292"/>
      <c r="E604" s="298"/>
      <c r="F604" s="279"/>
      <c r="G604" s="561"/>
      <c r="H604" s="553"/>
      <c r="J604" s="613"/>
      <c r="K604" s="561"/>
      <c r="L604" s="561"/>
      <c r="M604" s="561"/>
      <c r="N604" s="561"/>
      <c r="O604" s="561"/>
      <c r="P604" s="561"/>
      <c r="Q604" s="561"/>
      <c r="R604" s="561"/>
      <c r="S604" s="561"/>
      <c r="T604" s="561"/>
      <c r="U604" s="561"/>
      <c r="V604" s="561"/>
      <c r="W604" s="553"/>
      <c r="Y604" s="287"/>
      <c r="Z604" s="287"/>
    </row>
    <row r="605" spans="3:26" s="63" customFormat="1" ht="12" x14ac:dyDescent="0.2">
      <c r="C605" s="64"/>
      <c r="D605" s="292"/>
      <c r="E605" s="298"/>
      <c r="F605" s="279"/>
      <c r="G605" s="561"/>
      <c r="H605" s="553"/>
      <c r="J605" s="613"/>
      <c r="K605" s="561"/>
      <c r="L605" s="561"/>
      <c r="M605" s="561"/>
      <c r="N605" s="561"/>
      <c r="O605" s="561"/>
      <c r="P605" s="561"/>
      <c r="Q605" s="561"/>
      <c r="R605" s="561"/>
      <c r="S605" s="561"/>
      <c r="T605" s="561"/>
      <c r="U605" s="561"/>
      <c r="V605" s="561"/>
      <c r="W605" s="553"/>
      <c r="Y605" s="287"/>
      <c r="Z605" s="287"/>
    </row>
    <row r="606" spans="3:26" s="63" customFormat="1" ht="12" x14ac:dyDescent="0.2">
      <c r="C606" s="64"/>
      <c r="D606" s="292"/>
      <c r="E606" s="298"/>
      <c r="F606" s="279"/>
      <c r="G606" s="561"/>
      <c r="H606" s="553"/>
      <c r="J606" s="613"/>
      <c r="K606" s="561"/>
      <c r="L606" s="561"/>
      <c r="M606" s="561"/>
      <c r="N606" s="561"/>
      <c r="O606" s="561"/>
      <c r="P606" s="561"/>
      <c r="Q606" s="561"/>
      <c r="R606" s="561"/>
      <c r="S606" s="561"/>
      <c r="T606" s="561"/>
      <c r="U606" s="561"/>
      <c r="V606" s="561"/>
      <c r="W606" s="553"/>
      <c r="Y606" s="287"/>
      <c r="Z606" s="287"/>
    </row>
    <row r="607" spans="3:26" s="63" customFormat="1" ht="12" x14ac:dyDescent="0.2">
      <c r="C607" s="64"/>
      <c r="D607" s="292"/>
      <c r="E607" s="298"/>
      <c r="F607" s="279"/>
      <c r="G607" s="561"/>
      <c r="H607" s="553"/>
      <c r="J607" s="613"/>
      <c r="K607" s="561"/>
      <c r="L607" s="561"/>
      <c r="M607" s="561"/>
      <c r="N607" s="561"/>
      <c r="O607" s="561"/>
      <c r="P607" s="561"/>
      <c r="Q607" s="561"/>
      <c r="R607" s="561"/>
      <c r="S607" s="561"/>
      <c r="T607" s="561"/>
      <c r="U607" s="561"/>
      <c r="V607" s="561"/>
      <c r="W607" s="553"/>
      <c r="Y607" s="287"/>
      <c r="Z607" s="287"/>
    </row>
    <row r="608" spans="3:26" s="63" customFormat="1" ht="12" x14ac:dyDescent="0.2">
      <c r="C608" s="64"/>
      <c r="D608" s="292"/>
      <c r="E608" s="298"/>
      <c r="F608" s="279"/>
      <c r="G608" s="561"/>
      <c r="H608" s="553"/>
      <c r="J608" s="613"/>
      <c r="K608" s="561"/>
      <c r="L608" s="561"/>
      <c r="M608" s="561"/>
      <c r="N608" s="561"/>
      <c r="O608" s="561"/>
      <c r="P608" s="561"/>
      <c r="Q608" s="561"/>
      <c r="R608" s="561"/>
      <c r="S608" s="561"/>
      <c r="T608" s="561"/>
      <c r="U608" s="561"/>
      <c r="V608" s="561"/>
      <c r="W608" s="553"/>
      <c r="Y608" s="287"/>
      <c r="Z608" s="287"/>
    </row>
    <row r="609" spans="3:26" s="63" customFormat="1" ht="12" x14ac:dyDescent="0.2">
      <c r="C609" s="64"/>
      <c r="D609" s="292"/>
      <c r="E609" s="298"/>
      <c r="F609" s="279"/>
      <c r="G609" s="561"/>
      <c r="H609" s="553"/>
      <c r="J609" s="613"/>
      <c r="K609" s="561"/>
      <c r="L609" s="561"/>
      <c r="M609" s="561"/>
      <c r="N609" s="561"/>
      <c r="O609" s="561"/>
      <c r="P609" s="561"/>
      <c r="Q609" s="561"/>
      <c r="R609" s="561"/>
      <c r="S609" s="561"/>
      <c r="T609" s="561"/>
      <c r="U609" s="561"/>
      <c r="V609" s="561"/>
      <c r="W609" s="553"/>
      <c r="Y609" s="287"/>
      <c r="Z609" s="287"/>
    </row>
    <row r="610" spans="3:26" s="63" customFormat="1" ht="12" x14ac:dyDescent="0.2">
      <c r="C610" s="64"/>
      <c r="D610" s="292"/>
      <c r="E610" s="298"/>
      <c r="F610" s="279"/>
      <c r="G610" s="561"/>
      <c r="H610" s="553"/>
      <c r="J610" s="613"/>
      <c r="K610" s="561"/>
      <c r="L610" s="561"/>
      <c r="M610" s="561"/>
      <c r="N610" s="561"/>
      <c r="O610" s="561"/>
      <c r="P610" s="561"/>
      <c r="Q610" s="561"/>
      <c r="R610" s="561"/>
      <c r="S610" s="561"/>
      <c r="T610" s="561"/>
      <c r="U610" s="561"/>
      <c r="V610" s="561"/>
      <c r="W610" s="553"/>
      <c r="Y610" s="287"/>
      <c r="Z610" s="287"/>
    </row>
  </sheetData>
  <sheetProtection algorithmName="SHA-512" hashValue="CVY2Ze/q2wuvXHlm3ndm3F+QSbkD0AnayEesGuwojJ/k4TSDWHGTwmcFnH+VL3zyjFnasoVTd3iOy807bfPUrA==" saltValue="K4gmsh/v/JFFAzSRibkGfg==" spinCount="100000" sheet="1" selectLockedCells="1" selectUnlockedCells="1"/>
  <mergeCells count="2">
    <mergeCell ref="K4:V4"/>
    <mergeCell ref="A1:E1"/>
  </mergeCells>
  <phoneticPr fontId="13" type="noConversion"/>
  <conditionalFormatting sqref="X141:X142 X149 X157 X180:X181 X188 X194 X200 X206 X262 X269 X276 X305:X306 X327 X373 X409:X411 X419:X420 X428:X1048576 X82:X83 X165 X214 X220 X242 X283 X321 X347 X381:X382 X389:X390 X27 X35:X36 X106 X319 X73 X29:X33 X20:X23 X265 X38:X41 X44:X54 X75:X80 X56:X59 X61:X71 X94:X103 X126:X139 X108:X113 X392:X396 X119:X124 X160 X172:X177 X216:X217 X222:X228 X230 X273:X274 X323:X324 X333:X338 X340:X345 X352:X371 X349:X350 X375:X378 X399:X406 X244:X247 X115:X117 X249:X259 X1:X12 X14:X18">
    <cfRule type="cellIs" dxfId="253" priority="959" operator="equal">
      <formula>"Error"</formula>
    </cfRule>
    <cfRule type="cellIs" dxfId="252" priority="960" operator="equal">
      <formula>"OK"</formula>
    </cfRule>
  </conditionalFormatting>
  <conditionalFormatting sqref="X55">
    <cfRule type="cellIs" dxfId="251" priority="957" operator="equal">
      <formula>"Error"</formula>
    </cfRule>
    <cfRule type="cellIs" dxfId="250" priority="958" operator="equal">
      <formula>"OK"</formula>
    </cfRule>
  </conditionalFormatting>
  <conditionalFormatting sqref="X421:X426">
    <cfRule type="cellIs" dxfId="249" priority="841" operator="equal">
      <formula>"Error"</formula>
    </cfRule>
    <cfRule type="cellIs" dxfId="248" priority="842" operator="equal">
      <formula>"OK"</formula>
    </cfRule>
  </conditionalFormatting>
  <conditionalFormatting sqref="X412:X417">
    <cfRule type="cellIs" dxfId="247" priority="845" operator="equal">
      <formula>"Error"</formula>
    </cfRule>
    <cfRule type="cellIs" dxfId="246" priority="846" operator="equal">
      <formula>"OK"</formula>
    </cfRule>
  </conditionalFormatting>
  <conditionalFormatting sqref="X140">
    <cfRule type="cellIs" dxfId="245" priority="819" operator="equal">
      <formula>"Error"</formula>
    </cfRule>
    <cfRule type="cellIs" dxfId="244" priority="820" operator="equal">
      <formula>"OK"</formula>
    </cfRule>
  </conditionalFormatting>
  <conditionalFormatting sqref="X427">
    <cfRule type="cellIs" dxfId="243" priority="657" operator="equal">
      <formula>"Error"</formula>
    </cfRule>
    <cfRule type="cellIs" dxfId="242" priority="658" operator="equal">
      <formula>"OK"</formula>
    </cfRule>
  </conditionalFormatting>
  <conditionalFormatting sqref="X418">
    <cfRule type="cellIs" dxfId="241" priority="659" operator="equal">
      <formula>"Error"</formula>
    </cfRule>
    <cfRule type="cellIs" dxfId="240" priority="660" operator="equal">
      <formula>"OK"</formula>
    </cfRule>
  </conditionalFormatting>
  <conditionalFormatting sqref="X19">
    <cfRule type="cellIs" dxfId="239" priority="613" operator="equal">
      <formula>"Error"</formula>
    </cfRule>
    <cfRule type="cellIs" dxfId="238" priority="614" operator="equal">
      <formula>"OK"</formula>
    </cfRule>
  </conditionalFormatting>
  <conditionalFormatting sqref="X74">
    <cfRule type="cellIs" dxfId="237" priority="621" operator="equal">
      <formula>"Error"</formula>
    </cfRule>
    <cfRule type="cellIs" dxfId="236" priority="622" operator="equal">
      <formula>"OK"</formula>
    </cfRule>
  </conditionalFormatting>
  <conditionalFormatting sqref="X81">
    <cfRule type="cellIs" dxfId="235" priority="619" operator="equal">
      <formula>"Error"</formula>
    </cfRule>
    <cfRule type="cellIs" dxfId="234" priority="620" operator="equal">
      <formula>"OK"</formula>
    </cfRule>
  </conditionalFormatting>
  <conditionalFormatting sqref="X34">
    <cfRule type="cellIs" dxfId="233" priority="617" operator="equal">
      <formula>"Error"</formula>
    </cfRule>
    <cfRule type="cellIs" dxfId="232" priority="618" operator="equal">
      <formula>"OK"</formula>
    </cfRule>
  </conditionalFormatting>
  <conditionalFormatting sqref="X28">
    <cfRule type="cellIs" dxfId="231" priority="615" operator="equal">
      <formula>"Error"</formula>
    </cfRule>
    <cfRule type="cellIs" dxfId="230" priority="616" operator="equal">
      <formula>"OK"</formula>
    </cfRule>
  </conditionalFormatting>
  <conditionalFormatting sqref="X103">
    <cfRule type="cellIs" dxfId="229" priority="599" operator="equal">
      <formula>"Error"</formula>
    </cfRule>
    <cfRule type="cellIs" dxfId="228" priority="600" operator="equal">
      <formula>"OK"</formula>
    </cfRule>
  </conditionalFormatting>
  <conditionalFormatting sqref="X102">
    <cfRule type="cellIs" dxfId="227" priority="597" operator="equal">
      <formula>"Error"</formula>
    </cfRule>
    <cfRule type="cellIs" dxfId="226" priority="598" operator="equal">
      <formula>"OK"</formula>
    </cfRule>
  </conditionalFormatting>
  <conditionalFormatting sqref="X107">
    <cfRule type="cellIs" dxfId="225" priority="591" operator="equal">
      <formula>"Error"</formula>
    </cfRule>
    <cfRule type="cellIs" dxfId="224" priority="592" operator="equal">
      <formula>"OK"</formula>
    </cfRule>
  </conditionalFormatting>
  <conditionalFormatting sqref="X125">
    <cfRule type="cellIs" dxfId="223" priority="585" operator="equal">
      <formula>"Error"</formula>
    </cfRule>
    <cfRule type="cellIs" dxfId="222" priority="586" operator="equal">
      <formula>"OK"</formula>
    </cfRule>
  </conditionalFormatting>
  <conditionalFormatting sqref="X118">
    <cfRule type="cellIs" dxfId="221" priority="583" operator="equal">
      <formula>"Error"</formula>
    </cfRule>
    <cfRule type="cellIs" dxfId="220" priority="584" operator="equal">
      <formula>"OK"</formula>
    </cfRule>
  </conditionalFormatting>
  <conditionalFormatting sqref="X391 X407">
    <cfRule type="cellIs" dxfId="219" priority="551" operator="equal">
      <formula>"Error"</formula>
    </cfRule>
    <cfRule type="cellIs" dxfId="218" priority="552" operator="equal">
      <formula>"OK"</formula>
    </cfRule>
  </conditionalFormatting>
  <conditionalFormatting sqref="X408">
    <cfRule type="cellIs" dxfId="217" priority="535" operator="equal">
      <formula>"Error"</formula>
    </cfRule>
    <cfRule type="cellIs" dxfId="216" priority="536" operator="equal">
      <formula>"OK"</formula>
    </cfRule>
  </conditionalFormatting>
  <conditionalFormatting sqref="X148">
    <cfRule type="cellIs" dxfId="215" priority="507" operator="equal">
      <formula>"Error"</formula>
    </cfRule>
    <cfRule type="cellIs" dxfId="214" priority="508" operator="equal">
      <formula>"OK"</formula>
    </cfRule>
  </conditionalFormatting>
  <conditionalFormatting sqref="X150">
    <cfRule type="cellIs" dxfId="213" priority="505" operator="equal">
      <formula>"Error"</formula>
    </cfRule>
    <cfRule type="cellIs" dxfId="212" priority="506" operator="equal">
      <formula>"OK"</formula>
    </cfRule>
  </conditionalFormatting>
  <conditionalFormatting sqref="X155">
    <cfRule type="cellIs" dxfId="211" priority="503" operator="equal">
      <formula>"Error"</formula>
    </cfRule>
    <cfRule type="cellIs" dxfId="210" priority="504" operator="equal">
      <formula>"OK"</formula>
    </cfRule>
  </conditionalFormatting>
  <conditionalFormatting sqref="X143">
    <cfRule type="cellIs" dxfId="209" priority="511" operator="equal">
      <formula>"Error"</formula>
    </cfRule>
    <cfRule type="cellIs" dxfId="208" priority="512" operator="equal">
      <formula>"OK"</formula>
    </cfRule>
  </conditionalFormatting>
  <conditionalFormatting sqref="X147">
    <cfRule type="cellIs" dxfId="207" priority="509" operator="equal">
      <formula>"Error"</formula>
    </cfRule>
    <cfRule type="cellIs" dxfId="206" priority="510" operator="equal">
      <formula>"OK"</formula>
    </cfRule>
  </conditionalFormatting>
  <conditionalFormatting sqref="X158">
    <cfRule type="cellIs" dxfId="205" priority="499" operator="equal">
      <formula>"Error"</formula>
    </cfRule>
    <cfRule type="cellIs" dxfId="204" priority="500" operator="equal">
      <formula>"OK"</formula>
    </cfRule>
  </conditionalFormatting>
  <conditionalFormatting sqref="X156">
    <cfRule type="cellIs" dxfId="203" priority="501" operator="equal">
      <formula>"Error"</formula>
    </cfRule>
    <cfRule type="cellIs" dxfId="202" priority="502" operator="equal">
      <formula>"OK"</formula>
    </cfRule>
  </conditionalFormatting>
  <conditionalFormatting sqref="X163">
    <cfRule type="cellIs" dxfId="201" priority="495" operator="equal">
      <formula>"Error"</formula>
    </cfRule>
    <cfRule type="cellIs" dxfId="200" priority="496" operator="equal">
      <formula>"OK"</formula>
    </cfRule>
  </conditionalFormatting>
  <conditionalFormatting sqref="X164">
    <cfRule type="cellIs" dxfId="199" priority="493" operator="equal">
      <formula>"Error"</formula>
    </cfRule>
    <cfRule type="cellIs" dxfId="198" priority="494" operator="equal">
      <formula>"OK"</formula>
    </cfRule>
  </conditionalFormatting>
  <conditionalFormatting sqref="X213">
    <cfRule type="cellIs" dxfId="197" priority="447" operator="equal">
      <formula>"Error"</formula>
    </cfRule>
    <cfRule type="cellIs" dxfId="196" priority="448" operator="equal">
      <formula>"OK"</formula>
    </cfRule>
  </conditionalFormatting>
  <conditionalFormatting sqref="X166 X178">
    <cfRule type="cellIs" dxfId="195" priority="487" operator="equal">
      <formula>"Error"</formula>
    </cfRule>
    <cfRule type="cellIs" dxfId="194" priority="488" operator="equal">
      <formula>"OK"</formula>
    </cfRule>
  </conditionalFormatting>
  <conditionalFormatting sqref="X179">
    <cfRule type="cellIs" dxfId="193" priority="481" operator="equal">
      <formula>"Error"</formula>
    </cfRule>
    <cfRule type="cellIs" dxfId="192" priority="482" operator="equal">
      <formula>"OK"</formula>
    </cfRule>
  </conditionalFormatting>
  <conditionalFormatting sqref="X182">
    <cfRule type="cellIs" dxfId="191" priority="477" operator="equal">
      <formula>"Error"</formula>
    </cfRule>
    <cfRule type="cellIs" dxfId="190" priority="478" operator="equal">
      <formula>"OK"</formula>
    </cfRule>
  </conditionalFormatting>
  <conditionalFormatting sqref="X186">
    <cfRule type="cellIs" dxfId="189" priority="473" operator="equal">
      <formula>"Error"</formula>
    </cfRule>
    <cfRule type="cellIs" dxfId="188" priority="474" operator="equal">
      <formula>"OK"</formula>
    </cfRule>
  </conditionalFormatting>
  <conditionalFormatting sqref="X187">
    <cfRule type="cellIs" dxfId="187" priority="471" operator="equal">
      <formula>"Error"</formula>
    </cfRule>
    <cfRule type="cellIs" dxfId="186" priority="472" operator="equal">
      <formula>"OK"</formula>
    </cfRule>
  </conditionalFormatting>
  <conditionalFormatting sqref="X189 X192">
    <cfRule type="cellIs" dxfId="185" priority="469" operator="equal">
      <formula>"Error"</formula>
    </cfRule>
    <cfRule type="cellIs" dxfId="184" priority="470" operator="equal">
      <formula>"OK"</formula>
    </cfRule>
  </conditionalFormatting>
  <conditionalFormatting sqref="X193">
    <cfRule type="cellIs" dxfId="183" priority="467" operator="equal">
      <formula>"Error"</formula>
    </cfRule>
    <cfRule type="cellIs" dxfId="182" priority="468" operator="equal">
      <formula>"OK"</formula>
    </cfRule>
  </conditionalFormatting>
  <conditionalFormatting sqref="X195">
    <cfRule type="cellIs" dxfId="181" priority="465" operator="equal">
      <formula>"Error"</formula>
    </cfRule>
    <cfRule type="cellIs" dxfId="180" priority="466" operator="equal">
      <formula>"OK"</formula>
    </cfRule>
  </conditionalFormatting>
  <conditionalFormatting sqref="X198">
    <cfRule type="cellIs" dxfId="179" priority="463" operator="equal">
      <formula>"Error"</formula>
    </cfRule>
    <cfRule type="cellIs" dxfId="178" priority="464" operator="equal">
      <formula>"OK"</formula>
    </cfRule>
  </conditionalFormatting>
  <conditionalFormatting sqref="X199">
    <cfRule type="cellIs" dxfId="177" priority="461" operator="equal">
      <formula>"Error"</formula>
    </cfRule>
    <cfRule type="cellIs" dxfId="176" priority="462" operator="equal">
      <formula>"OK"</formula>
    </cfRule>
  </conditionalFormatting>
  <conditionalFormatting sqref="X201">
    <cfRule type="cellIs" dxfId="175" priority="459" operator="equal">
      <formula>"Error"</formula>
    </cfRule>
    <cfRule type="cellIs" dxfId="174" priority="460" operator="equal">
      <formula>"OK"</formula>
    </cfRule>
  </conditionalFormatting>
  <conditionalFormatting sqref="X204">
    <cfRule type="cellIs" dxfId="173" priority="457" operator="equal">
      <formula>"Error"</formula>
    </cfRule>
    <cfRule type="cellIs" dxfId="172" priority="458" operator="equal">
      <formula>"OK"</formula>
    </cfRule>
  </conditionalFormatting>
  <conditionalFormatting sqref="X205">
    <cfRule type="cellIs" dxfId="171" priority="455" operator="equal">
      <formula>"Error"</formula>
    </cfRule>
    <cfRule type="cellIs" dxfId="170" priority="456" operator="equal">
      <formula>"OK"</formula>
    </cfRule>
  </conditionalFormatting>
  <conditionalFormatting sqref="X207">
    <cfRule type="cellIs" dxfId="169" priority="453" operator="equal">
      <formula>"Error"</formula>
    </cfRule>
    <cfRule type="cellIs" dxfId="168" priority="454" operator="equal">
      <formula>"OK"</formula>
    </cfRule>
  </conditionalFormatting>
  <conditionalFormatting sqref="X212">
    <cfRule type="cellIs" dxfId="167" priority="451" operator="equal">
      <formula>"Error"</formula>
    </cfRule>
    <cfRule type="cellIs" dxfId="166" priority="452" operator="equal">
      <formula>"OK"</formula>
    </cfRule>
  </conditionalFormatting>
  <conditionalFormatting sqref="X219">
    <cfRule type="cellIs" dxfId="165" priority="439" operator="equal">
      <formula>"Error"</formula>
    </cfRule>
    <cfRule type="cellIs" dxfId="164" priority="440" operator="equal">
      <formula>"OK"</formula>
    </cfRule>
  </conditionalFormatting>
  <conditionalFormatting sqref="X215 X218">
    <cfRule type="cellIs" dxfId="163" priority="443" operator="equal">
      <formula>"Error"</formula>
    </cfRule>
    <cfRule type="cellIs" dxfId="162" priority="444" operator="equal">
      <formula>"OK"</formula>
    </cfRule>
  </conditionalFormatting>
  <conditionalFormatting sqref="X304">
    <cfRule type="cellIs" dxfId="161" priority="387" operator="equal">
      <formula>"Error"</formula>
    </cfRule>
    <cfRule type="cellIs" dxfId="160" priority="388" operator="equal">
      <formula>"OK"</formula>
    </cfRule>
  </conditionalFormatting>
  <conditionalFormatting sqref="X241">
    <cfRule type="cellIs" dxfId="159" priority="417" operator="equal">
      <formula>"Error"</formula>
    </cfRule>
    <cfRule type="cellIs" dxfId="158" priority="418" operator="equal">
      <formula>"OK"</formula>
    </cfRule>
  </conditionalFormatting>
  <conditionalFormatting sqref="X221 X240">
    <cfRule type="cellIs" dxfId="157" priority="435" operator="equal">
      <formula>"Error"</formula>
    </cfRule>
    <cfRule type="cellIs" dxfId="156" priority="436" operator="equal">
      <formula>"OK"</formula>
    </cfRule>
  </conditionalFormatting>
  <conditionalFormatting sqref="X284">
    <cfRule type="cellIs" dxfId="155" priority="401" operator="equal">
      <formula>"Error"</formula>
    </cfRule>
    <cfRule type="cellIs" dxfId="154" priority="402" operator="equal">
      <formula>"OK"</formula>
    </cfRule>
  </conditionalFormatting>
  <conditionalFormatting sqref="X303">
    <cfRule type="cellIs" dxfId="153" priority="399" operator="equal">
      <formula>"Error"</formula>
    </cfRule>
    <cfRule type="cellIs" dxfId="152" priority="400" operator="equal">
      <formula>"OK"</formula>
    </cfRule>
  </conditionalFormatting>
  <conditionalFormatting sqref="X268">
    <cfRule type="cellIs" dxfId="151" priority="329" operator="equal">
      <formula>"Error"</formula>
    </cfRule>
    <cfRule type="cellIs" dxfId="150" priority="330" operator="equal">
      <formula>"OK"</formula>
    </cfRule>
  </conditionalFormatting>
  <conditionalFormatting sqref="X261">
    <cfRule type="cellIs" dxfId="149" priority="353" operator="equal">
      <formula>"Error"</formula>
    </cfRule>
    <cfRule type="cellIs" dxfId="148" priority="354" operator="equal">
      <formula>"OK"</formula>
    </cfRule>
  </conditionalFormatting>
  <conditionalFormatting sqref="X260 X243">
    <cfRule type="cellIs" dxfId="147" priority="367" operator="equal">
      <formula>"Error"</formula>
    </cfRule>
    <cfRule type="cellIs" dxfId="146" priority="368" operator="equal">
      <formula>"OK"</formula>
    </cfRule>
  </conditionalFormatting>
  <conditionalFormatting sqref="X263">
    <cfRule type="cellIs" dxfId="145" priority="333" operator="equal">
      <formula>"Error"</formula>
    </cfRule>
    <cfRule type="cellIs" dxfId="144" priority="334" operator="equal">
      <formula>"OK"</formula>
    </cfRule>
  </conditionalFormatting>
  <conditionalFormatting sqref="X267">
    <cfRule type="cellIs" dxfId="143" priority="331" operator="equal">
      <formula>"Error"</formula>
    </cfRule>
    <cfRule type="cellIs" dxfId="142" priority="332" operator="equal">
      <formula>"OK"</formula>
    </cfRule>
  </conditionalFormatting>
  <conditionalFormatting sqref="X307">
    <cfRule type="cellIs" dxfId="141" priority="301" operator="equal">
      <formula>"Error"</formula>
    </cfRule>
    <cfRule type="cellIs" dxfId="140" priority="302" operator="equal">
      <formula>"OK"</formula>
    </cfRule>
  </conditionalFormatting>
  <conditionalFormatting sqref="X320">
    <cfRule type="cellIs" dxfId="139" priority="297" operator="equal">
      <formula>"Error"</formula>
    </cfRule>
    <cfRule type="cellIs" dxfId="138" priority="298" operator="equal">
      <formula>"OK"</formula>
    </cfRule>
  </conditionalFormatting>
  <conditionalFormatting sqref="X277">
    <cfRule type="cellIs" dxfId="137" priority="281" operator="equal">
      <formula>"Error"</formula>
    </cfRule>
    <cfRule type="cellIs" dxfId="136" priority="282" operator="equal">
      <formula>"OK"</formula>
    </cfRule>
  </conditionalFormatting>
  <conditionalFormatting sqref="X280:X281">
    <cfRule type="cellIs" dxfId="135" priority="275" operator="equal">
      <formula>"Error"</formula>
    </cfRule>
    <cfRule type="cellIs" dxfId="134" priority="276" operator="equal">
      <formula>"OK"</formula>
    </cfRule>
  </conditionalFormatting>
  <conditionalFormatting sqref="X282">
    <cfRule type="cellIs" dxfId="133" priority="273" operator="equal">
      <formula>"Error"</formula>
    </cfRule>
    <cfRule type="cellIs" dxfId="132" priority="274" operator="equal">
      <formula>"OK"</formula>
    </cfRule>
  </conditionalFormatting>
  <conditionalFormatting sqref="X270">
    <cfRule type="cellIs" dxfId="131" priority="271" operator="equal">
      <formula>"Error"</formula>
    </cfRule>
    <cfRule type="cellIs" dxfId="130" priority="272" operator="equal">
      <formula>"OK"</formula>
    </cfRule>
  </conditionalFormatting>
  <conditionalFormatting sqref="X271:X272">
    <cfRule type="cellIs" dxfId="129" priority="269" operator="equal">
      <formula>"Error"</formula>
    </cfRule>
    <cfRule type="cellIs" dxfId="128" priority="270" operator="equal">
      <formula>"OK"</formula>
    </cfRule>
  </conditionalFormatting>
  <conditionalFormatting sqref="X275">
    <cfRule type="cellIs" dxfId="127" priority="265" operator="equal">
      <formula>"Error"</formula>
    </cfRule>
    <cfRule type="cellIs" dxfId="126" priority="266" operator="equal">
      <formula>"OK"</formula>
    </cfRule>
  </conditionalFormatting>
  <conditionalFormatting sqref="X322">
    <cfRule type="cellIs" dxfId="125" priority="263" operator="equal">
      <formula>"Error"</formula>
    </cfRule>
    <cfRule type="cellIs" dxfId="124" priority="264" operator="equal">
      <formula>"OK"</formula>
    </cfRule>
  </conditionalFormatting>
  <conditionalFormatting sqref="X325">
    <cfRule type="cellIs" dxfId="123" priority="261" operator="equal">
      <formula>"Error"</formula>
    </cfRule>
    <cfRule type="cellIs" dxfId="122" priority="262" operator="equal">
      <formula>"OK"</formula>
    </cfRule>
  </conditionalFormatting>
  <conditionalFormatting sqref="X326">
    <cfRule type="cellIs" dxfId="121" priority="259" operator="equal">
      <formula>"Error"</formula>
    </cfRule>
    <cfRule type="cellIs" dxfId="120" priority="260" operator="equal">
      <formula>"OK"</formula>
    </cfRule>
  </conditionalFormatting>
  <conditionalFormatting sqref="X328">
    <cfRule type="cellIs" dxfId="119" priority="257" operator="equal">
      <formula>"Error"</formula>
    </cfRule>
    <cfRule type="cellIs" dxfId="118" priority="258" operator="equal">
      <formula>"OK"</formula>
    </cfRule>
  </conditionalFormatting>
  <conditionalFormatting sqref="X331">
    <cfRule type="cellIs" dxfId="117" priority="255" operator="equal">
      <formula>"Error"</formula>
    </cfRule>
    <cfRule type="cellIs" dxfId="116" priority="256" operator="equal">
      <formula>"OK"</formula>
    </cfRule>
  </conditionalFormatting>
  <conditionalFormatting sqref="X332">
    <cfRule type="cellIs" dxfId="115" priority="253" operator="equal">
      <formula>"Error"</formula>
    </cfRule>
    <cfRule type="cellIs" dxfId="114" priority="254" operator="equal">
      <formula>"OK"</formula>
    </cfRule>
  </conditionalFormatting>
  <conditionalFormatting sqref="X339">
    <cfRule type="cellIs" dxfId="113" priority="249" operator="equal">
      <formula>"Error"</formula>
    </cfRule>
    <cfRule type="cellIs" dxfId="112" priority="250" operator="equal">
      <formula>"OK"</formula>
    </cfRule>
  </conditionalFormatting>
  <conditionalFormatting sqref="X346">
    <cfRule type="cellIs" dxfId="111" priority="245" operator="equal">
      <formula>"Error"</formula>
    </cfRule>
    <cfRule type="cellIs" dxfId="110" priority="246" operator="equal">
      <formula>"OK"</formula>
    </cfRule>
  </conditionalFormatting>
  <conditionalFormatting sqref="X372">
    <cfRule type="cellIs" dxfId="109" priority="231" operator="equal">
      <formula>"Error"</formula>
    </cfRule>
    <cfRule type="cellIs" dxfId="108" priority="232" operator="equal">
      <formula>"OK"</formula>
    </cfRule>
  </conditionalFormatting>
  <conditionalFormatting sqref="X348">
    <cfRule type="cellIs" dxfId="107" priority="239" operator="equal">
      <formula>"Error"</formula>
    </cfRule>
    <cfRule type="cellIs" dxfId="106" priority="240" operator="equal">
      <formula>"OK"</formula>
    </cfRule>
  </conditionalFormatting>
  <conditionalFormatting sqref="X374">
    <cfRule type="cellIs" dxfId="105" priority="227" operator="equal">
      <formula>"Error"</formula>
    </cfRule>
    <cfRule type="cellIs" dxfId="104" priority="228" operator="equal">
      <formula>"OK"</formula>
    </cfRule>
  </conditionalFormatting>
  <conditionalFormatting sqref="X379">
    <cfRule type="cellIs" dxfId="103" priority="225" operator="equal">
      <formula>"Error"</formula>
    </cfRule>
    <cfRule type="cellIs" dxfId="102" priority="226" operator="equal">
      <formula>"OK"</formula>
    </cfRule>
  </conditionalFormatting>
  <conditionalFormatting sqref="X380">
    <cfRule type="cellIs" dxfId="101" priority="223" operator="equal">
      <formula>"Error"</formula>
    </cfRule>
    <cfRule type="cellIs" dxfId="100" priority="224" operator="equal">
      <formula>"OK"</formula>
    </cfRule>
  </conditionalFormatting>
  <conditionalFormatting sqref="X383 X387">
    <cfRule type="cellIs" dxfId="99" priority="221" operator="equal">
      <formula>"Error"</formula>
    </cfRule>
    <cfRule type="cellIs" dxfId="98" priority="222" operator="equal">
      <formula>"OK"</formula>
    </cfRule>
  </conditionalFormatting>
  <conditionalFormatting sqref="X388">
    <cfRule type="cellIs" dxfId="97" priority="219" operator="equal">
      <formula>"Error"</formula>
    </cfRule>
    <cfRule type="cellIs" dxfId="96" priority="220" operator="equal">
      <formula>"OK"</formula>
    </cfRule>
  </conditionalFormatting>
  <conditionalFormatting sqref="X104:X105">
    <cfRule type="cellIs" dxfId="95" priority="155" operator="equal">
      <formula>"Error"</formula>
    </cfRule>
    <cfRule type="cellIs" dxfId="94" priority="156" operator="equal">
      <formula>"OK"</formula>
    </cfRule>
  </conditionalFormatting>
  <conditionalFormatting sqref="X85:X93">
    <cfRule type="cellIs" dxfId="93" priority="153" operator="equal">
      <formula>"Error"</formula>
    </cfRule>
    <cfRule type="cellIs" dxfId="92" priority="154" operator="equal">
      <formula>"OK"</formula>
    </cfRule>
  </conditionalFormatting>
  <conditionalFormatting sqref="X72">
    <cfRule type="cellIs" dxfId="91" priority="149" operator="equal">
      <formula>"Error"</formula>
    </cfRule>
    <cfRule type="cellIs" dxfId="90" priority="150" operator="equal">
      <formula>"OK"</formula>
    </cfRule>
  </conditionalFormatting>
  <conditionalFormatting sqref="X42">
    <cfRule type="cellIs" dxfId="89" priority="147" operator="equal">
      <formula>"Error"</formula>
    </cfRule>
    <cfRule type="cellIs" dxfId="88" priority="148" operator="equal">
      <formula>"OK"</formula>
    </cfRule>
  </conditionalFormatting>
  <conditionalFormatting sqref="X24:X26">
    <cfRule type="cellIs" dxfId="87" priority="141" operator="equal">
      <formula>"Error"</formula>
    </cfRule>
    <cfRule type="cellIs" dxfId="86" priority="142" operator="equal">
      <formula>"OK"</formula>
    </cfRule>
  </conditionalFormatting>
  <conditionalFormatting sqref="X145:X146">
    <cfRule type="cellIs" dxfId="85" priority="133" operator="equal">
      <formula>"Error"</formula>
    </cfRule>
    <cfRule type="cellIs" dxfId="84" priority="134" operator="equal">
      <formula>"OK"</formula>
    </cfRule>
  </conditionalFormatting>
  <conditionalFormatting sqref="X151:X154">
    <cfRule type="cellIs" dxfId="83" priority="131" operator="equal">
      <formula>"Error"</formula>
    </cfRule>
    <cfRule type="cellIs" dxfId="82" priority="132" operator="equal">
      <formula>"OK"</formula>
    </cfRule>
  </conditionalFormatting>
  <conditionalFormatting sqref="X159:X162">
    <cfRule type="cellIs" dxfId="81" priority="129" operator="equal">
      <formula>"Error"</formula>
    </cfRule>
    <cfRule type="cellIs" dxfId="80" priority="130" operator="equal">
      <formula>"OK"</formula>
    </cfRule>
  </conditionalFormatting>
  <conditionalFormatting sqref="X167:X170">
    <cfRule type="cellIs" dxfId="79" priority="127" operator="equal">
      <formula>"Error"</formula>
    </cfRule>
    <cfRule type="cellIs" dxfId="78" priority="128" operator="equal">
      <formula>"OK"</formula>
    </cfRule>
  </conditionalFormatting>
  <conditionalFormatting sqref="X183:X185">
    <cfRule type="cellIs" dxfId="77" priority="125" operator="equal">
      <formula>"Error"</formula>
    </cfRule>
    <cfRule type="cellIs" dxfId="76" priority="126" operator="equal">
      <formula>"OK"</formula>
    </cfRule>
  </conditionalFormatting>
  <conditionalFormatting sqref="X190:X191">
    <cfRule type="cellIs" dxfId="75" priority="123" operator="equal">
      <formula>"Error"</formula>
    </cfRule>
    <cfRule type="cellIs" dxfId="74" priority="124" operator="equal">
      <formula>"OK"</formula>
    </cfRule>
  </conditionalFormatting>
  <conditionalFormatting sqref="X196:X197">
    <cfRule type="cellIs" dxfId="73" priority="121" operator="equal">
      <formula>"Error"</formula>
    </cfRule>
    <cfRule type="cellIs" dxfId="72" priority="122" operator="equal">
      <formula>"OK"</formula>
    </cfRule>
  </conditionalFormatting>
  <conditionalFormatting sqref="X202:X203">
    <cfRule type="cellIs" dxfId="71" priority="119" operator="equal">
      <formula>"Error"</formula>
    </cfRule>
    <cfRule type="cellIs" dxfId="70" priority="120" operator="equal">
      <formula>"OK"</formula>
    </cfRule>
  </conditionalFormatting>
  <conditionalFormatting sqref="X208:X211">
    <cfRule type="cellIs" dxfId="69" priority="117" operator="equal">
      <formula>"Error"</formula>
    </cfRule>
    <cfRule type="cellIs" dxfId="68" priority="118" operator="equal">
      <formula>"OK"</formula>
    </cfRule>
  </conditionalFormatting>
  <conditionalFormatting sqref="X239">
    <cfRule type="cellIs" dxfId="67" priority="113" operator="equal">
      <formula>"Error"</formula>
    </cfRule>
    <cfRule type="cellIs" dxfId="66" priority="114" operator="equal">
      <formula>"OK"</formula>
    </cfRule>
  </conditionalFormatting>
  <conditionalFormatting sqref="X264:X266">
    <cfRule type="cellIs" dxfId="65" priority="109" operator="equal">
      <formula>"Error"</formula>
    </cfRule>
    <cfRule type="cellIs" dxfId="64" priority="110" operator="equal">
      <formula>"OK"</formula>
    </cfRule>
  </conditionalFormatting>
  <conditionalFormatting sqref="X278:X279">
    <cfRule type="cellIs" dxfId="63" priority="107" operator="equal">
      <formula>"Error"</formula>
    </cfRule>
    <cfRule type="cellIs" dxfId="62" priority="108" operator="equal">
      <formula>"OK"</formula>
    </cfRule>
  </conditionalFormatting>
  <conditionalFormatting sqref="X288:X302">
    <cfRule type="cellIs" dxfId="61" priority="105" operator="equal">
      <formula>"Error"</formula>
    </cfRule>
    <cfRule type="cellIs" dxfId="60" priority="106" operator="equal">
      <formula>"OK"</formula>
    </cfRule>
  </conditionalFormatting>
  <conditionalFormatting sqref="X308:X314 X316 X318">
    <cfRule type="cellIs" dxfId="59" priority="103" operator="equal">
      <formula>"Error"</formula>
    </cfRule>
    <cfRule type="cellIs" dxfId="58" priority="104" operator="equal">
      <formula>"OK"</formula>
    </cfRule>
  </conditionalFormatting>
  <conditionalFormatting sqref="X329:X330">
    <cfRule type="cellIs" dxfId="57" priority="99" operator="equal">
      <formula>"Error"</formula>
    </cfRule>
    <cfRule type="cellIs" dxfId="56" priority="100" operator="equal">
      <formula>"OK"</formula>
    </cfRule>
  </conditionalFormatting>
  <conditionalFormatting sqref="X384:X386">
    <cfRule type="cellIs" dxfId="55" priority="93" operator="equal">
      <formula>"Error"</formula>
    </cfRule>
    <cfRule type="cellIs" dxfId="54" priority="94" operator="equal">
      <formula>"OK"</formula>
    </cfRule>
  </conditionalFormatting>
  <conditionalFormatting sqref="X285:X287">
    <cfRule type="cellIs" dxfId="53" priority="73" operator="equal">
      <formula>"Error"</formula>
    </cfRule>
    <cfRule type="cellIs" dxfId="52" priority="74" operator="equal">
      <formula>"OK"</formula>
    </cfRule>
  </conditionalFormatting>
  <conditionalFormatting sqref="X144">
    <cfRule type="cellIs" dxfId="51" priority="71" operator="equal">
      <formula>"Error"</formula>
    </cfRule>
    <cfRule type="cellIs" dxfId="50" priority="72" operator="equal">
      <formula>"OK"</formula>
    </cfRule>
  </conditionalFormatting>
  <conditionalFormatting sqref="X84">
    <cfRule type="cellIs" dxfId="49" priority="59" operator="equal">
      <formula>"Error"</formula>
    </cfRule>
    <cfRule type="cellIs" dxfId="48" priority="60" operator="equal">
      <formula>"OK"</formula>
    </cfRule>
  </conditionalFormatting>
  <conditionalFormatting sqref="X393:X396">
    <cfRule type="cellIs" dxfId="47" priority="57" operator="equal">
      <formula>"Error"</formula>
    </cfRule>
    <cfRule type="cellIs" dxfId="46" priority="58" operator="equal">
      <formula>"OK"</formula>
    </cfRule>
  </conditionalFormatting>
  <conditionalFormatting sqref="X37 X42">
    <cfRule type="cellIs" dxfId="45" priority="53" operator="equal">
      <formula>"Error"</formula>
    </cfRule>
    <cfRule type="cellIs" dxfId="44" priority="54" operator="equal">
      <formula>"OK"</formula>
    </cfRule>
  </conditionalFormatting>
  <conditionalFormatting sqref="X37 X42">
    <cfRule type="cellIs" dxfId="43" priority="51" operator="equal">
      <formula>"Error"</formula>
    </cfRule>
    <cfRule type="cellIs" dxfId="42" priority="52" operator="equal">
      <formula>"OK"</formula>
    </cfRule>
  </conditionalFormatting>
  <conditionalFormatting sqref="X43">
    <cfRule type="cellIs" dxfId="41" priority="43" operator="equal">
      <formula>"Error"</formula>
    </cfRule>
    <cfRule type="cellIs" dxfId="40" priority="44" operator="equal">
      <formula>"OK"</formula>
    </cfRule>
  </conditionalFormatting>
  <conditionalFormatting sqref="X43">
    <cfRule type="cellIs" dxfId="39" priority="41" operator="equal">
      <formula>"Error"</formula>
    </cfRule>
    <cfRule type="cellIs" dxfId="38" priority="42" operator="equal">
      <formula>"OK"</formula>
    </cfRule>
  </conditionalFormatting>
  <conditionalFormatting sqref="X43">
    <cfRule type="cellIs" dxfId="37" priority="39" operator="equal">
      <formula>"Error"</formula>
    </cfRule>
    <cfRule type="cellIs" dxfId="36" priority="40" operator="equal">
      <formula>"OK"</formula>
    </cfRule>
  </conditionalFormatting>
  <conditionalFormatting sqref="X60:X71">
    <cfRule type="cellIs" dxfId="35" priority="37" operator="equal">
      <formula>"Error"</formula>
    </cfRule>
    <cfRule type="cellIs" dxfId="34" priority="38" operator="equal">
      <formula>"OK"</formula>
    </cfRule>
  </conditionalFormatting>
  <conditionalFormatting sqref="X60:X71">
    <cfRule type="cellIs" dxfId="33" priority="35" operator="equal">
      <formula>"Error"</formula>
    </cfRule>
    <cfRule type="cellIs" dxfId="32" priority="36" operator="equal">
      <formula>"OK"</formula>
    </cfRule>
  </conditionalFormatting>
  <conditionalFormatting sqref="X60:X71">
    <cfRule type="cellIs" dxfId="31" priority="33" operator="equal">
      <formula>"Error"</formula>
    </cfRule>
    <cfRule type="cellIs" dxfId="30" priority="34" operator="equal">
      <formula>"OK"</formula>
    </cfRule>
  </conditionalFormatting>
  <conditionalFormatting sqref="X171">
    <cfRule type="cellIs" dxfId="29" priority="31" operator="equal">
      <formula>"Error"</formula>
    </cfRule>
    <cfRule type="cellIs" dxfId="28" priority="32" operator="equal">
      <formula>"OK"</formula>
    </cfRule>
  </conditionalFormatting>
  <conditionalFormatting sqref="X229:X230">
    <cfRule type="cellIs" dxfId="27" priority="29" operator="equal">
      <formula>"Error"</formula>
    </cfRule>
    <cfRule type="cellIs" dxfId="26" priority="30" operator="equal">
      <formula>"OK"</formula>
    </cfRule>
  </conditionalFormatting>
  <conditionalFormatting sqref="X231:X236">
    <cfRule type="cellIs" dxfId="25" priority="27" operator="equal">
      <formula>"Error"</formula>
    </cfRule>
    <cfRule type="cellIs" dxfId="24" priority="28" operator="equal">
      <formula>"OK"</formula>
    </cfRule>
  </conditionalFormatting>
  <conditionalFormatting sqref="X237">
    <cfRule type="cellIs" dxfId="23" priority="25" operator="equal">
      <formula>"Error"</formula>
    </cfRule>
    <cfRule type="cellIs" dxfId="22" priority="26" operator="equal">
      <formula>"OK"</formula>
    </cfRule>
  </conditionalFormatting>
  <conditionalFormatting sqref="X238">
    <cfRule type="cellIs" dxfId="21" priority="23" operator="equal">
      <formula>"Error"</formula>
    </cfRule>
    <cfRule type="cellIs" dxfId="20" priority="24" operator="equal">
      <formula>"OK"</formula>
    </cfRule>
  </conditionalFormatting>
  <conditionalFormatting sqref="X257">
    <cfRule type="cellIs" dxfId="19" priority="21" operator="equal">
      <formula>"Error"</formula>
    </cfRule>
    <cfRule type="cellIs" dxfId="18" priority="22" operator="equal">
      <formula>"OK"</formula>
    </cfRule>
  </conditionalFormatting>
  <conditionalFormatting sqref="X351">
    <cfRule type="cellIs" dxfId="17" priority="19" operator="equal">
      <formula>"Error"</formula>
    </cfRule>
    <cfRule type="cellIs" dxfId="16" priority="20" operator="equal">
      <formula>"OK"</formula>
    </cfRule>
  </conditionalFormatting>
  <conditionalFormatting sqref="X315">
    <cfRule type="cellIs" dxfId="15" priority="17" operator="equal">
      <formula>"Error"</formula>
    </cfRule>
    <cfRule type="cellIs" dxfId="14" priority="18" operator="equal">
      <formula>"OK"</formula>
    </cfRule>
  </conditionalFormatting>
  <conditionalFormatting sqref="X317">
    <cfRule type="cellIs" dxfId="13" priority="15" operator="equal">
      <formula>"Error"</formula>
    </cfRule>
    <cfRule type="cellIs" dxfId="12" priority="16" operator="equal">
      <formula>"OK"</formula>
    </cfRule>
  </conditionalFormatting>
  <conditionalFormatting sqref="X398">
    <cfRule type="cellIs" dxfId="11" priority="13" operator="equal">
      <formula>"Error"</formula>
    </cfRule>
    <cfRule type="cellIs" dxfId="10" priority="14" operator="equal">
      <formula>"OK"</formula>
    </cfRule>
  </conditionalFormatting>
  <conditionalFormatting sqref="X397">
    <cfRule type="cellIs" dxfId="9" priority="7" operator="equal">
      <formula>"Error"</formula>
    </cfRule>
    <cfRule type="cellIs" dxfId="8" priority="8" operator="equal">
      <formula>"OK"</formula>
    </cfRule>
  </conditionalFormatting>
  <conditionalFormatting sqref="X397">
    <cfRule type="cellIs" dxfId="7" priority="9" operator="equal">
      <formula>"Error"</formula>
    </cfRule>
    <cfRule type="cellIs" dxfId="6" priority="10" operator="equal">
      <formula>"OK"</formula>
    </cfRule>
  </conditionalFormatting>
  <conditionalFormatting sqref="X114">
    <cfRule type="cellIs" dxfId="5" priority="5" operator="equal">
      <formula>"Error"</formula>
    </cfRule>
    <cfRule type="cellIs" dxfId="4" priority="6" operator="equal">
      <formula>"OK"</formula>
    </cfRule>
  </conditionalFormatting>
  <conditionalFormatting sqref="X248">
    <cfRule type="cellIs" dxfId="3" priority="3" operator="equal">
      <formula>"Error"</formula>
    </cfRule>
    <cfRule type="cellIs" dxfId="2" priority="4" operator="equal">
      <formula>"OK"</formula>
    </cfRule>
  </conditionalFormatting>
  <conditionalFormatting sqref="X13">
    <cfRule type="cellIs" dxfId="1" priority="1" operator="equal">
      <formula>"Error"</formula>
    </cfRule>
    <cfRule type="cellIs" dxfId="0" priority="2" operator="equal">
      <formula>"OK"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 tint="0.79998168889431442"/>
  </sheetPr>
  <dimension ref="A1:F19"/>
  <sheetViews>
    <sheetView workbookViewId="0"/>
  </sheetViews>
  <sheetFormatPr defaultRowHeight="15" x14ac:dyDescent="0.25"/>
  <cols>
    <col min="1" max="1" width="14.140625" style="350" customWidth="1"/>
    <col min="2" max="2" width="9.140625" style="350"/>
    <col min="3" max="3" width="10.85546875" style="350" bestFit="1" customWidth="1"/>
    <col min="4" max="4" width="18.85546875" style="348" bestFit="1" customWidth="1"/>
    <col min="5" max="5" width="21.85546875" style="348" bestFit="1" customWidth="1"/>
    <col min="6" max="6" width="104.28515625" style="350" customWidth="1"/>
  </cols>
  <sheetData>
    <row r="1" spans="1:6" x14ac:dyDescent="0.25">
      <c r="A1" s="350" t="s">
        <v>339</v>
      </c>
    </row>
    <row r="3" spans="1:6" s="347" customFormat="1" x14ac:dyDescent="0.25">
      <c r="A3" s="351" t="s">
        <v>341</v>
      </c>
      <c r="B3" s="351" t="s">
        <v>340</v>
      </c>
      <c r="C3" s="351" t="s">
        <v>342</v>
      </c>
      <c r="D3" s="349" t="s">
        <v>343</v>
      </c>
      <c r="E3" s="349" t="s">
        <v>344</v>
      </c>
      <c r="F3" s="351" t="s">
        <v>345</v>
      </c>
    </row>
    <row r="5" spans="1:6" x14ac:dyDescent="0.25">
      <c r="A5" s="566" t="s">
        <v>269</v>
      </c>
      <c r="B5" s="567" t="s">
        <v>663</v>
      </c>
      <c r="C5" s="568">
        <v>12</v>
      </c>
      <c r="D5" s="618">
        <v>1500</v>
      </c>
      <c r="E5" s="628">
        <v>18000</v>
      </c>
    </row>
    <row r="6" spans="1:6" x14ac:dyDescent="0.25">
      <c r="A6" s="566" t="s">
        <v>269</v>
      </c>
      <c r="B6" s="567" t="s">
        <v>662</v>
      </c>
      <c r="C6" s="568">
        <v>2</v>
      </c>
      <c r="D6" s="618">
        <v>150</v>
      </c>
      <c r="E6" s="628">
        <v>0</v>
      </c>
    </row>
    <row r="7" spans="1:6" x14ac:dyDescent="0.25">
      <c r="A7" s="692" t="s">
        <v>269</v>
      </c>
      <c r="B7" s="693" t="s">
        <v>661</v>
      </c>
      <c r="C7" s="694">
        <v>1</v>
      </c>
      <c r="D7" s="695">
        <v>2400</v>
      </c>
      <c r="E7" s="628">
        <v>2400</v>
      </c>
    </row>
    <row r="8" spans="1:6" x14ac:dyDescent="0.25">
      <c r="A8" s="566" t="s">
        <v>269</v>
      </c>
      <c r="B8" s="567" t="s">
        <v>660</v>
      </c>
      <c r="C8" s="568">
        <v>12</v>
      </c>
      <c r="D8" s="618">
        <v>125</v>
      </c>
      <c r="E8" s="628">
        <v>1500</v>
      </c>
    </row>
    <row r="9" spans="1:6" x14ac:dyDescent="0.25">
      <c r="A9" s="688" t="s">
        <v>269</v>
      </c>
      <c r="B9" s="689" t="s">
        <v>807</v>
      </c>
      <c r="C9" s="690">
        <v>4</v>
      </c>
      <c r="D9" s="691">
        <v>125</v>
      </c>
      <c r="E9" s="628">
        <v>500</v>
      </c>
    </row>
    <row r="10" spans="1:6" x14ac:dyDescent="0.25">
      <c r="A10" s="566" t="s">
        <v>269</v>
      </c>
      <c r="B10" s="567" t="s">
        <v>806</v>
      </c>
      <c r="C10" s="568">
        <v>0</v>
      </c>
      <c r="D10" s="618">
        <v>0</v>
      </c>
      <c r="E10" s="628">
        <v>6000</v>
      </c>
    </row>
    <row r="11" spans="1:6" x14ac:dyDescent="0.25">
      <c r="A11" s="688" t="s">
        <v>269</v>
      </c>
      <c r="B11" s="689" t="s">
        <v>733</v>
      </c>
      <c r="C11" s="690">
        <v>16</v>
      </c>
      <c r="D11" s="691">
        <v>500</v>
      </c>
      <c r="E11" s="628">
        <v>8000</v>
      </c>
    </row>
    <row r="12" spans="1:6" x14ac:dyDescent="0.25">
      <c r="A12" s="688" t="s">
        <v>269</v>
      </c>
      <c r="B12" s="689" t="s">
        <v>732</v>
      </c>
      <c r="C12" s="690">
        <v>10</v>
      </c>
      <c r="D12" s="691">
        <v>250</v>
      </c>
      <c r="E12" s="628">
        <v>2500</v>
      </c>
    </row>
    <row r="13" spans="1:6" x14ac:dyDescent="0.25">
      <c r="A13" s="683" t="s">
        <v>269</v>
      </c>
      <c r="B13" s="684" t="s">
        <v>805</v>
      </c>
      <c r="C13" s="685">
        <v>8</v>
      </c>
      <c r="D13" s="686">
        <v>300</v>
      </c>
      <c r="E13" s="628">
        <v>2400</v>
      </c>
    </row>
    <row r="14" spans="1:6" x14ac:dyDescent="0.25">
      <c r="A14" s="683" t="s">
        <v>269</v>
      </c>
      <c r="B14" s="684" t="s">
        <v>808</v>
      </c>
      <c r="C14" s="685">
        <v>2</v>
      </c>
      <c r="D14" s="686">
        <v>600</v>
      </c>
      <c r="E14" s="628">
        <v>1200</v>
      </c>
    </row>
    <row r="15" spans="1:6" x14ac:dyDescent="0.25">
      <c r="A15" s="566" t="s">
        <v>269</v>
      </c>
      <c r="B15" s="567" t="s">
        <v>731</v>
      </c>
      <c r="C15" s="568">
        <v>1</v>
      </c>
      <c r="D15" s="618">
        <v>1200</v>
      </c>
      <c r="E15" s="628">
        <v>1158.71</v>
      </c>
    </row>
    <row r="16" spans="1:6" x14ac:dyDescent="0.25">
      <c r="A16" s="566" t="s">
        <v>269</v>
      </c>
      <c r="B16" s="567" t="s">
        <v>730</v>
      </c>
      <c r="C16" s="568">
        <v>3</v>
      </c>
      <c r="D16" s="618">
        <v>11100</v>
      </c>
      <c r="E16" s="628">
        <v>33300</v>
      </c>
    </row>
    <row r="17" spans="1:5" x14ac:dyDescent="0.25">
      <c r="A17" s="566" t="s">
        <v>269</v>
      </c>
      <c r="B17" s="567" t="s">
        <v>729</v>
      </c>
      <c r="C17" s="568">
        <v>1</v>
      </c>
      <c r="D17" s="618">
        <v>500</v>
      </c>
      <c r="E17" s="628">
        <v>500</v>
      </c>
    </row>
    <row r="18" spans="1:5" x14ac:dyDescent="0.25">
      <c r="A18" s="683" t="s">
        <v>269</v>
      </c>
      <c r="B18" s="684" t="s">
        <v>728</v>
      </c>
      <c r="C18" s="685">
        <v>2</v>
      </c>
      <c r="D18" s="686">
        <v>400</v>
      </c>
      <c r="E18" s="628">
        <v>800</v>
      </c>
    </row>
    <row r="19" spans="1:5" x14ac:dyDescent="0.25">
      <c r="A19"/>
      <c r="B19"/>
      <c r="C19"/>
      <c r="D19"/>
      <c r="E19" s="687">
        <f>SUM(E5:E18)</f>
        <v>78258.709999999992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70C0"/>
  </sheetPr>
  <dimension ref="A1:B12"/>
  <sheetViews>
    <sheetView workbookViewId="0"/>
  </sheetViews>
  <sheetFormatPr defaultRowHeight="15" x14ac:dyDescent="0.25"/>
  <cols>
    <col min="2" max="2" width="38.42578125" bestFit="1" customWidth="1"/>
  </cols>
  <sheetData>
    <row r="1" spans="1:2" ht="26.25" x14ac:dyDescent="0.4">
      <c r="A1" s="374" t="s">
        <v>384</v>
      </c>
    </row>
    <row r="2" spans="1:2" x14ac:dyDescent="0.25">
      <c r="A2" s="351" t="s">
        <v>362</v>
      </c>
      <c r="B2" s="347" t="s">
        <v>363</v>
      </c>
    </row>
    <row r="3" spans="1:2" x14ac:dyDescent="0.25">
      <c r="A3" s="350" t="s">
        <v>364</v>
      </c>
      <c r="B3" t="s">
        <v>365</v>
      </c>
    </row>
    <row r="4" spans="1:2" x14ac:dyDescent="0.25">
      <c r="A4" s="350" t="s">
        <v>366</v>
      </c>
      <c r="B4" t="s">
        <v>367</v>
      </c>
    </row>
    <row r="5" spans="1:2" x14ac:dyDescent="0.25">
      <c r="A5" s="350" t="s">
        <v>368</v>
      </c>
      <c r="B5" t="s">
        <v>369</v>
      </c>
    </row>
    <row r="6" spans="1:2" x14ac:dyDescent="0.25">
      <c r="A6" s="350" t="s">
        <v>370</v>
      </c>
      <c r="B6" t="s">
        <v>371</v>
      </c>
    </row>
    <row r="7" spans="1:2" x14ac:dyDescent="0.25">
      <c r="A7" s="350" t="s">
        <v>372</v>
      </c>
      <c r="B7" t="s">
        <v>373</v>
      </c>
    </row>
    <row r="8" spans="1:2" x14ac:dyDescent="0.25">
      <c r="A8" s="350" t="s">
        <v>374</v>
      </c>
      <c r="B8" t="s">
        <v>375</v>
      </c>
    </row>
    <row r="9" spans="1:2" x14ac:dyDescent="0.25">
      <c r="A9" s="350" t="s">
        <v>376</v>
      </c>
      <c r="B9" t="s">
        <v>377</v>
      </c>
    </row>
    <row r="10" spans="1:2" x14ac:dyDescent="0.25">
      <c r="A10" s="350" t="s">
        <v>378</v>
      </c>
      <c r="B10" t="s">
        <v>379</v>
      </c>
    </row>
    <row r="11" spans="1:2" x14ac:dyDescent="0.25">
      <c r="A11" s="350" t="s">
        <v>380</v>
      </c>
      <c r="B11" t="s">
        <v>381</v>
      </c>
    </row>
    <row r="12" spans="1:2" x14ac:dyDescent="0.25">
      <c r="A12" s="350" t="s">
        <v>382</v>
      </c>
      <c r="B12" t="s">
        <v>383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1" tint="0.34998626667073579"/>
  </sheetPr>
  <dimension ref="A1:U277"/>
  <sheetViews>
    <sheetView workbookViewId="0"/>
  </sheetViews>
  <sheetFormatPr defaultColWidth="8.85546875" defaultRowHeight="15" x14ac:dyDescent="0.25"/>
  <cols>
    <col min="1" max="2" width="3.140625" style="14" customWidth="1"/>
    <col min="3" max="3" width="7.85546875" style="20" customWidth="1"/>
    <col min="4" max="4" width="38.28515625" style="14" bestFit="1" customWidth="1"/>
    <col min="5" max="16" width="8.85546875" style="14"/>
    <col min="17" max="17" width="8.85546875" style="22"/>
    <col min="18" max="18" width="2.140625" style="28" customWidth="1"/>
    <col min="19" max="19" width="12" style="23" bestFit="1" customWidth="1"/>
    <col min="20" max="20" width="2.140625" style="28" customWidth="1"/>
    <col min="21" max="16384" width="8.85546875" style="14"/>
  </cols>
  <sheetData>
    <row r="1" spans="1:21" s="1" customFormat="1" ht="21" x14ac:dyDescent="0.35">
      <c r="A1" s="11" t="str">
        <f>'Rev &amp; Enroll'!$F$5</f>
        <v>Nevada State High School (CSO)</v>
      </c>
      <c r="B1" s="11"/>
      <c r="C1" s="17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4"/>
      <c r="R1" s="24"/>
      <c r="S1" s="3"/>
      <c r="T1" s="24"/>
    </row>
    <row r="2" spans="1:21" s="1" customFormat="1" x14ac:dyDescent="0.25">
      <c r="A2" s="12" t="s">
        <v>106</v>
      </c>
      <c r="B2" s="12"/>
      <c r="C2" s="17"/>
      <c r="D2" s="13"/>
      <c r="E2" s="2"/>
      <c r="F2" s="2"/>
      <c r="G2" s="2"/>
      <c r="H2" s="2"/>
      <c r="I2" s="2"/>
      <c r="J2" s="2"/>
      <c r="M2" s="2"/>
      <c r="N2" s="2"/>
      <c r="O2" s="2"/>
      <c r="Q2" s="8"/>
      <c r="R2" s="25"/>
      <c r="S2" s="2"/>
      <c r="T2" s="29"/>
    </row>
    <row r="3" spans="1:21" s="6" customFormat="1" ht="13.5" customHeight="1" x14ac:dyDescent="0.2">
      <c r="A3" s="5" t="s">
        <v>519</v>
      </c>
      <c r="B3" s="5"/>
      <c r="C3" s="1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8"/>
      <c r="R3" s="25"/>
      <c r="S3" s="7"/>
      <c r="T3" s="30"/>
    </row>
    <row r="4" spans="1:21" s="9" customFormat="1" ht="29.45" customHeight="1" x14ac:dyDescent="0.25">
      <c r="C4" s="19"/>
      <c r="D4" s="10"/>
      <c r="E4" s="33">
        <v>44013</v>
      </c>
      <c r="F4" s="33">
        <f t="shared" ref="F4:P4" si="0">E4+31</f>
        <v>44044</v>
      </c>
      <c r="G4" s="33">
        <f t="shared" si="0"/>
        <v>44075</v>
      </c>
      <c r="H4" s="33">
        <f t="shared" si="0"/>
        <v>44106</v>
      </c>
      <c r="I4" s="33">
        <f t="shared" si="0"/>
        <v>44137</v>
      </c>
      <c r="J4" s="33">
        <f t="shared" si="0"/>
        <v>44168</v>
      </c>
      <c r="K4" s="33">
        <f t="shared" si="0"/>
        <v>44199</v>
      </c>
      <c r="L4" s="33">
        <f t="shared" si="0"/>
        <v>44230</v>
      </c>
      <c r="M4" s="33">
        <f t="shared" si="0"/>
        <v>44261</v>
      </c>
      <c r="N4" s="33">
        <f t="shared" si="0"/>
        <v>44292</v>
      </c>
      <c r="O4" s="33">
        <f t="shared" si="0"/>
        <v>44323</v>
      </c>
      <c r="P4" s="56">
        <f t="shared" si="0"/>
        <v>44354</v>
      </c>
      <c r="Q4" s="35" t="s">
        <v>54</v>
      </c>
      <c r="R4" s="26"/>
      <c r="S4" s="58" t="s">
        <v>55</v>
      </c>
      <c r="T4" s="26"/>
    </row>
    <row r="5" spans="1:21" s="9" customFormat="1" ht="12" hidden="1" x14ac:dyDescent="0.25">
      <c r="C5" s="19"/>
      <c r="D5" s="207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4"/>
      <c r="R5" s="26"/>
      <c r="S5" s="647"/>
      <c r="T5" s="26"/>
      <c r="U5" s="32"/>
    </row>
    <row r="6" spans="1:21" s="37" customFormat="1" ht="11.45" customHeight="1" x14ac:dyDescent="0.2">
      <c r="A6" s="45" t="s">
        <v>58</v>
      </c>
      <c r="C6" s="38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8"/>
      <c r="R6" s="41"/>
      <c r="S6" s="59"/>
      <c r="T6" s="41"/>
    </row>
    <row r="7" spans="1:21" s="37" customFormat="1" ht="12" x14ac:dyDescent="0.2">
      <c r="A7" s="45"/>
      <c r="C7" s="49" t="s">
        <v>171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8"/>
      <c r="R7" s="41"/>
      <c r="S7" s="59"/>
      <c r="T7" s="41"/>
    </row>
    <row r="8" spans="1:21" s="37" customFormat="1" ht="12" x14ac:dyDescent="0.2">
      <c r="A8" s="45"/>
      <c r="C8" s="199">
        <v>1110</v>
      </c>
      <c r="D8" s="37" t="s">
        <v>0</v>
      </c>
      <c r="E8" s="188">
        <f>$U8/12</f>
        <v>33165</v>
      </c>
      <c r="F8" s="188">
        <f t="shared" ref="F8:P9" si="1">$U8/12</f>
        <v>33165</v>
      </c>
      <c r="G8" s="188">
        <f t="shared" si="1"/>
        <v>33165</v>
      </c>
      <c r="H8" s="188">
        <f t="shared" si="1"/>
        <v>33165</v>
      </c>
      <c r="I8" s="188">
        <f t="shared" si="1"/>
        <v>33165</v>
      </c>
      <c r="J8" s="188">
        <f t="shared" si="1"/>
        <v>33165</v>
      </c>
      <c r="K8" s="188">
        <f t="shared" si="1"/>
        <v>33165</v>
      </c>
      <c r="L8" s="188">
        <f t="shared" si="1"/>
        <v>33165</v>
      </c>
      <c r="M8" s="188">
        <f t="shared" si="1"/>
        <v>33165</v>
      </c>
      <c r="N8" s="188">
        <f t="shared" si="1"/>
        <v>33165</v>
      </c>
      <c r="O8" s="188">
        <f t="shared" si="1"/>
        <v>33165</v>
      </c>
      <c r="P8" s="188">
        <f>$U8/12</f>
        <v>33165</v>
      </c>
      <c r="Q8" s="189">
        <v>0.70751999999629334</v>
      </c>
      <c r="R8" s="186"/>
      <c r="S8" s="59">
        <f>SUM(E8:Q8)</f>
        <v>397980.70752</v>
      </c>
      <c r="T8" s="186"/>
      <c r="U8" s="37">
        <v>397980</v>
      </c>
    </row>
    <row r="9" spans="1:21" s="37" customFormat="1" ht="12" x14ac:dyDescent="0.2">
      <c r="A9" s="45"/>
      <c r="C9" s="199">
        <v>1120</v>
      </c>
      <c r="D9" s="37" t="s">
        <v>1</v>
      </c>
      <c r="E9" s="188">
        <f>$U9/12</f>
        <v>36431.25</v>
      </c>
      <c r="F9" s="188">
        <f t="shared" si="1"/>
        <v>36431.25</v>
      </c>
      <c r="G9" s="188">
        <f t="shared" si="1"/>
        <v>36431.25</v>
      </c>
      <c r="H9" s="188">
        <f t="shared" si="1"/>
        <v>36431.25</v>
      </c>
      <c r="I9" s="188">
        <f t="shared" si="1"/>
        <v>36431.25</v>
      </c>
      <c r="J9" s="188">
        <f t="shared" si="1"/>
        <v>36431.25</v>
      </c>
      <c r="K9" s="188">
        <f t="shared" si="1"/>
        <v>36431.25</v>
      </c>
      <c r="L9" s="188">
        <f t="shared" si="1"/>
        <v>36431.25</v>
      </c>
      <c r="M9" s="188">
        <f t="shared" si="1"/>
        <v>36431.25</v>
      </c>
      <c r="N9" s="188">
        <f t="shared" si="1"/>
        <v>36431.25</v>
      </c>
      <c r="O9" s="188">
        <f t="shared" si="1"/>
        <v>36431.25</v>
      </c>
      <c r="P9" s="188">
        <f t="shared" si="1"/>
        <v>36431.25</v>
      </c>
      <c r="Q9" s="68">
        <v>0.77720000001136214</v>
      </c>
      <c r="R9" s="41"/>
      <c r="S9" s="59">
        <f t="shared" ref="S9:S12" si="2">SUM(E9:Q9)</f>
        <v>437175.77720000001</v>
      </c>
      <c r="T9" s="41"/>
      <c r="U9" s="37">
        <v>437175</v>
      </c>
    </row>
    <row r="10" spans="1:21" s="37" customFormat="1" ht="12" x14ac:dyDescent="0.2">
      <c r="A10" s="45"/>
      <c r="C10" s="199">
        <v>1191</v>
      </c>
      <c r="D10" s="37" t="s">
        <v>2</v>
      </c>
      <c r="E10" s="188">
        <f t="shared" ref="E10:P12" si="3">$U10/12</f>
        <v>125.625</v>
      </c>
      <c r="F10" s="188">
        <f t="shared" si="3"/>
        <v>125.625</v>
      </c>
      <c r="G10" s="188">
        <f t="shared" si="3"/>
        <v>125.625</v>
      </c>
      <c r="H10" s="188">
        <f t="shared" si="3"/>
        <v>125.625</v>
      </c>
      <c r="I10" s="188">
        <f t="shared" si="3"/>
        <v>125.625</v>
      </c>
      <c r="J10" s="188">
        <f t="shared" si="3"/>
        <v>125.625</v>
      </c>
      <c r="K10" s="188">
        <f t="shared" si="3"/>
        <v>125.625</v>
      </c>
      <c r="L10" s="188">
        <f t="shared" si="3"/>
        <v>125.625</v>
      </c>
      <c r="M10" s="188">
        <f t="shared" si="3"/>
        <v>125.625</v>
      </c>
      <c r="N10" s="188">
        <f t="shared" si="3"/>
        <v>125.625</v>
      </c>
      <c r="O10" s="188">
        <f t="shared" si="3"/>
        <v>125.625</v>
      </c>
      <c r="P10" s="188">
        <f t="shared" si="3"/>
        <v>125.625</v>
      </c>
      <c r="Q10" s="68">
        <v>2.6800000000548607E-3</v>
      </c>
      <c r="R10" s="41"/>
      <c r="S10" s="59">
        <f t="shared" si="2"/>
        <v>1507.5026800000001</v>
      </c>
      <c r="T10" s="41"/>
      <c r="U10" s="37">
        <v>1507.5</v>
      </c>
    </row>
    <row r="11" spans="1:21" s="37" customFormat="1" ht="12" x14ac:dyDescent="0.2">
      <c r="A11" s="45"/>
      <c r="C11" s="199">
        <v>1192</v>
      </c>
      <c r="D11" s="37" t="s">
        <v>3</v>
      </c>
      <c r="E11" s="188">
        <f t="shared" si="3"/>
        <v>3894.375</v>
      </c>
      <c r="F11" s="188">
        <f t="shared" si="3"/>
        <v>3894.375</v>
      </c>
      <c r="G11" s="188">
        <f t="shared" si="3"/>
        <v>3894.375</v>
      </c>
      <c r="H11" s="188">
        <f t="shared" si="3"/>
        <v>3894.375</v>
      </c>
      <c r="I11" s="188">
        <f t="shared" si="3"/>
        <v>3894.375</v>
      </c>
      <c r="J11" s="188">
        <f t="shared" si="3"/>
        <v>3894.375</v>
      </c>
      <c r="K11" s="188">
        <f t="shared" si="3"/>
        <v>3894.375</v>
      </c>
      <c r="L11" s="188">
        <f t="shared" si="3"/>
        <v>3894.375</v>
      </c>
      <c r="M11" s="188">
        <f t="shared" si="3"/>
        <v>3894.375</v>
      </c>
      <c r="N11" s="188">
        <f t="shared" si="3"/>
        <v>3894.375</v>
      </c>
      <c r="O11" s="188">
        <f t="shared" si="3"/>
        <v>3894.375</v>
      </c>
      <c r="P11" s="188">
        <f t="shared" si="3"/>
        <v>3894.375</v>
      </c>
      <c r="Q11" s="68">
        <v>8.308000000033644E-2</v>
      </c>
      <c r="R11" s="41"/>
      <c r="S11" s="59">
        <f t="shared" si="2"/>
        <v>46732.583079999997</v>
      </c>
      <c r="T11" s="41"/>
      <c r="U11" s="37">
        <v>46732.5</v>
      </c>
    </row>
    <row r="12" spans="1:21" s="37" customFormat="1" ht="12" x14ac:dyDescent="0.2">
      <c r="A12" s="45"/>
      <c r="C12" s="199">
        <v>3110</v>
      </c>
      <c r="D12" s="37" t="s">
        <v>73</v>
      </c>
      <c r="E12" s="188">
        <f t="shared" si="3"/>
        <v>52008.75</v>
      </c>
      <c r="F12" s="188">
        <f t="shared" si="3"/>
        <v>52008.75</v>
      </c>
      <c r="G12" s="188">
        <f t="shared" si="3"/>
        <v>52008.75</v>
      </c>
      <c r="H12" s="188">
        <f t="shared" si="3"/>
        <v>52008.75</v>
      </c>
      <c r="I12" s="188">
        <f t="shared" si="3"/>
        <v>52008.75</v>
      </c>
      <c r="J12" s="188">
        <f t="shared" si="3"/>
        <v>52008.75</v>
      </c>
      <c r="K12" s="188">
        <f t="shared" si="3"/>
        <v>52008.75</v>
      </c>
      <c r="L12" s="188">
        <f t="shared" si="3"/>
        <v>52008.75</v>
      </c>
      <c r="M12" s="188">
        <f t="shared" si="3"/>
        <v>52008.75</v>
      </c>
      <c r="N12" s="188">
        <f t="shared" si="3"/>
        <v>52008.75</v>
      </c>
      <c r="O12" s="188">
        <f t="shared" si="3"/>
        <v>52008.75</v>
      </c>
      <c r="P12" s="188">
        <f t="shared" si="3"/>
        <v>52008.75</v>
      </c>
      <c r="Q12" s="68">
        <v>1.109519999998156</v>
      </c>
      <c r="R12" s="41"/>
      <c r="S12" s="59">
        <f t="shared" si="2"/>
        <v>624106.10951999994</v>
      </c>
      <c r="T12" s="41"/>
      <c r="U12" s="37">
        <v>624105</v>
      </c>
    </row>
    <row r="13" spans="1:21" s="37" customFormat="1" ht="12" x14ac:dyDescent="0.2">
      <c r="A13" s="45"/>
      <c r="C13" s="38"/>
      <c r="E13" s="73">
        <f>SUBTOTAL(9,E8:E12)</f>
        <v>125625</v>
      </c>
      <c r="F13" s="73">
        <f t="shared" ref="F13:Q13" si="4">SUBTOTAL(9,F8:F12)</f>
        <v>125625</v>
      </c>
      <c r="G13" s="73">
        <f t="shared" si="4"/>
        <v>125625</v>
      </c>
      <c r="H13" s="73">
        <f t="shared" si="4"/>
        <v>125625</v>
      </c>
      <c r="I13" s="73">
        <f t="shared" si="4"/>
        <v>125625</v>
      </c>
      <c r="J13" s="73">
        <f t="shared" si="4"/>
        <v>125625</v>
      </c>
      <c r="K13" s="73">
        <f t="shared" si="4"/>
        <v>125625</v>
      </c>
      <c r="L13" s="73">
        <f t="shared" si="4"/>
        <v>125625</v>
      </c>
      <c r="M13" s="73">
        <f t="shared" si="4"/>
        <v>125625</v>
      </c>
      <c r="N13" s="73">
        <f t="shared" si="4"/>
        <v>125625</v>
      </c>
      <c r="O13" s="73">
        <f t="shared" si="4"/>
        <v>125625</v>
      </c>
      <c r="P13" s="73">
        <f t="shared" si="4"/>
        <v>125625</v>
      </c>
      <c r="Q13" s="73">
        <f t="shared" si="4"/>
        <v>2.6800000000062028</v>
      </c>
      <c r="R13" s="41"/>
      <c r="S13" s="61">
        <f>SUBTOTAL(9,S8:S12)</f>
        <v>1507502.6800000002</v>
      </c>
      <c r="T13" s="41"/>
    </row>
    <row r="14" spans="1:21" s="37" customFormat="1" ht="12" x14ac:dyDescent="0.2">
      <c r="A14" s="45"/>
      <c r="C14" s="49" t="s">
        <v>170</v>
      </c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8"/>
      <c r="R14" s="41"/>
      <c r="S14" s="59"/>
      <c r="T14" s="41"/>
    </row>
    <row r="15" spans="1:21" s="37" customFormat="1" ht="12" x14ac:dyDescent="0.2">
      <c r="A15" s="45"/>
      <c r="C15" s="199">
        <v>3115</v>
      </c>
      <c r="D15" s="37" t="s">
        <v>5</v>
      </c>
      <c r="E15" s="188">
        <f t="shared" ref="E15:P16" si="5">$U15/12</f>
        <v>0</v>
      </c>
      <c r="F15" s="188">
        <f t="shared" si="5"/>
        <v>0</v>
      </c>
      <c r="G15" s="188">
        <f t="shared" si="5"/>
        <v>0</v>
      </c>
      <c r="H15" s="188">
        <f t="shared" si="5"/>
        <v>0</v>
      </c>
      <c r="I15" s="188">
        <f t="shared" si="5"/>
        <v>0</v>
      </c>
      <c r="J15" s="188">
        <f t="shared" si="5"/>
        <v>0</v>
      </c>
      <c r="K15" s="188">
        <f t="shared" si="5"/>
        <v>0</v>
      </c>
      <c r="L15" s="188">
        <f t="shared" si="5"/>
        <v>0</v>
      </c>
      <c r="M15" s="188">
        <f t="shared" si="5"/>
        <v>0</v>
      </c>
      <c r="N15" s="188">
        <f t="shared" si="5"/>
        <v>0</v>
      </c>
      <c r="O15" s="188">
        <f t="shared" si="5"/>
        <v>0</v>
      </c>
      <c r="P15" s="188">
        <f t="shared" si="5"/>
        <v>0</v>
      </c>
      <c r="Q15" s="68">
        <v>0</v>
      </c>
      <c r="R15" s="41"/>
      <c r="S15" s="59">
        <f t="shared" ref="S15:S21" si="6">SUM(E15:Q15)</f>
        <v>0</v>
      </c>
      <c r="T15" s="41"/>
    </row>
    <row r="16" spans="1:21" s="37" customFormat="1" ht="12" x14ac:dyDescent="0.2">
      <c r="A16" s="45"/>
      <c r="C16" s="199">
        <v>3200</v>
      </c>
      <c r="D16" s="37" t="s">
        <v>6</v>
      </c>
      <c r="E16" s="188">
        <f t="shared" si="5"/>
        <v>0</v>
      </c>
      <c r="F16" s="188">
        <f t="shared" si="5"/>
        <v>0</v>
      </c>
      <c r="G16" s="188">
        <f t="shared" si="5"/>
        <v>0</v>
      </c>
      <c r="H16" s="188">
        <f t="shared" si="5"/>
        <v>0</v>
      </c>
      <c r="I16" s="188">
        <f t="shared" si="5"/>
        <v>0</v>
      </c>
      <c r="J16" s="188">
        <f t="shared" si="5"/>
        <v>0</v>
      </c>
      <c r="K16" s="188">
        <f t="shared" si="5"/>
        <v>0</v>
      </c>
      <c r="L16" s="188">
        <f t="shared" si="5"/>
        <v>0</v>
      </c>
      <c r="M16" s="188">
        <f t="shared" si="5"/>
        <v>0</v>
      </c>
      <c r="N16" s="188">
        <f t="shared" si="5"/>
        <v>0</v>
      </c>
      <c r="O16" s="188">
        <f t="shared" si="5"/>
        <v>0</v>
      </c>
      <c r="P16" s="188">
        <f t="shared" si="5"/>
        <v>0</v>
      </c>
      <c r="Q16" s="68">
        <v>0</v>
      </c>
      <c r="R16" s="41"/>
      <c r="S16" s="59">
        <f t="shared" si="6"/>
        <v>0</v>
      </c>
      <c r="T16" s="41"/>
    </row>
    <row r="17" spans="1:21" s="37" customFormat="1" ht="12" x14ac:dyDescent="0.2">
      <c r="A17" s="45"/>
      <c r="C17" s="38"/>
      <c r="E17" s="73">
        <f>SUBTOTAL(9,E15:E16)</f>
        <v>0</v>
      </c>
      <c r="F17" s="73">
        <f t="shared" ref="F17:S17" si="7">SUBTOTAL(9,F15:F16)</f>
        <v>0</v>
      </c>
      <c r="G17" s="73">
        <f t="shared" si="7"/>
        <v>0</v>
      </c>
      <c r="H17" s="73">
        <f t="shared" si="7"/>
        <v>0</v>
      </c>
      <c r="I17" s="73">
        <f t="shared" si="7"/>
        <v>0</v>
      </c>
      <c r="J17" s="73">
        <f t="shared" si="7"/>
        <v>0</v>
      </c>
      <c r="K17" s="73">
        <f t="shared" si="7"/>
        <v>0</v>
      </c>
      <c r="L17" s="73">
        <f t="shared" si="7"/>
        <v>0</v>
      </c>
      <c r="M17" s="73">
        <f t="shared" si="7"/>
        <v>0</v>
      </c>
      <c r="N17" s="73">
        <f t="shared" si="7"/>
        <v>0</v>
      </c>
      <c r="O17" s="73">
        <f t="shared" si="7"/>
        <v>0</v>
      </c>
      <c r="P17" s="73">
        <f t="shared" si="7"/>
        <v>0</v>
      </c>
      <c r="Q17" s="73">
        <f t="shared" si="7"/>
        <v>0</v>
      </c>
      <c r="R17" s="41"/>
      <c r="S17" s="61">
        <f t="shared" si="7"/>
        <v>0</v>
      </c>
      <c r="T17" s="41"/>
    </row>
    <row r="18" spans="1:21" s="37" customFormat="1" ht="12" x14ac:dyDescent="0.2">
      <c r="A18" s="45"/>
      <c r="C18" s="49" t="s">
        <v>149</v>
      </c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41"/>
      <c r="S18" s="59"/>
      <c r="T18" s="41"/>
    </row>
    <row r="19" spans="1:21" s="37" customFormat="1" ht="12" x14ac:dyDescent="0.2">
      <c r="A19" s="45"/>
      <c r="C19" s="199">
        <v>4500</v>
      </c>
      <c r="D19" s="37" t="s">
        <v>6</v>
      </c>
      <c r="E19" s="188">
        <f t="shared" ref="E19:P21" si="8">$U19/12</f>
        <v>0</v>
      </c>
      <c r="F19" s="188">
        <f t="shared" si="8"/>
        <v>0</v>
      </c>
      <c r="G19" s="188">
        <f t="shared" si="8"/>
        <v>0</v>
      </c>
      <c r="H19" s="188">
        <f t="shared" si="8"/>
        <v>0</v>
      </c>
      <c r="I19" s="188">
        <f t="shared" si="8"/>
        <v>0</v>
      </c>
      <c r="J19" s="188">
        <f t="shared" si="8"/>
        <v>0</v>
      </c>
      <c r="K19" s="188">
        <f t="shared" si="8"/>
        <v>0</v>
      </c>
      <c r="L19" s="188">
        <f t="shared" si="8"/>
        <v>0</v>
      </c>
      <c r="M19" s="188">
        <f t="shared" si="8"/>
        <v>0</v>
      </c>
      <c r="N19" s="188">
        <f t="shared" si="8"/>
        <v>0</v>
      </c>
      <c r="O19" s="188">
        <f t="shared" si="8"/>
        <v>0</v>
      </c>
      <c r="P19" s="188">
        <f t="shared" si="8"/>
        <v>0</v>
      </c>
      <c r="Q19" s="68">
        <v>0</v>
      </c>
      <c r="R19" s="41"/>
      <c r="S19" s="59">
        <f t="shared" si="6"/>
        <v>0</v>
      </c>
      <c r="T19" s="41"/>
    </row>
    <row r="20" spans="1:21" s="37" customFormat="1" ht="12" x14ac:dyDescent="0.2">
      <c r="A20" s="45"/>
      <c r="C20" s="199">
        <v>4571</v>
      </c>
      <c r="D20" s="37" t="s">
        <v>7</v>
      </c>
      <c r="E20" s="188">
        <f t="shared" si="8"/>
        <v>0</v>
      </c>
      <c r="F20" s="188">
        <f t="shared" si="8"/>
        <v>0</v>
      </c>
      <c r="G20" s="188">
        <f t="shared" si="8"/>
        <v>0</v>
      </c>
      <c r="H20" s="188">
        <f t="shared" si="8"/>
        <v>0</v>
      </c>
      <c r="I20" s="188">
        <f t="shared" si="8"/>
        <v>0</v>
      </c>
      <c r="J20" s="188">
        <f t="shared" si="8"/>
        <v>0</v>
      </c>
      <c r="K20" s="188">
        <f t="shared" si="8"/>
        <v>0</v>
      </c>
      <c r="L20" s="188">
        <f t="shared" si="8"/>
        <v>0</v>
      </c>
      <c r="M20" s="188">
        <f t="shared" si="8"/>
        <v>0</v>
      </c>
      <c r="N20" s="188">
        <f t="shared" si="8"/>
        <v>0</v>
      </c>
      <c r="O20" s="188">
        <f t="shared" si="8"/>
        <v>0</v>
      </c>
      <c r="P20" s="188">
        <f t="shared" si="8"/>
        <v>0</v>
      </c>
      <c r="Q20" s="68">
        <v>0</v>
      </c>
      <c r="R20" s="41"/>
      <c r="S20" s="59">
        <f t="shared" si="6"/>
        <v>0</v>
      </c>
      <c r="T20" s="41"/>
    </row>
    <row r="21" spans="1:21" s="37" customFormat="1" ht="12" x14ac:dyDescent="0.2">
      <c r="A21" s="45"/>
      <c r="C21" s="38">
        <v>4703</v>
      </c>
      <c r="D21" s="37" t="s">
        <v>185</v>
      </c>
      <c r="E21" s="188">
        <f t="shared" si="8"/>
        <v>1622.5</v>
      </c>
      <c r="F21" s="188">
        <f t="shared" si="8"/>
        <v>1622.5</v>
      </c>
      <c r="G21" s="188">
        <f t="shared" si="8"/>
        <v>1622.5</v>
      </c>
      <c r="H21" s="188">
        <f t="shared" si="8"/>
        <v>1622.5</v>
      </c>
      <c r="I21" s="188">
        <f t="shared" si="8"/>
        <v>1622.5</v>
      </c>
      <c r="J21" s="188">
        <f t="shared" si="8"/>
        <v>1622.5</v>
      </c>
      <c r="K21" s="188">
        <f t="shared" si="8"/>
        <v>1622.5</v>
      </c>
      <c r="L21" s="188">
        <f t="shared" si="8"/>
        <v>1622.5</v>
      </c>
      <c r="M21" s="188">
        <f t="shared" si="8"/>
        <v>1622.5</v>
      </c>
      <c r="N21" s="188">
        <f t="shared" si="8"/>
        <v>1622.5</v>
      </c>
      <c r="O21" s="188">
        <f t="shared" si="8"/>
        <v>1622.5</v>
      </c>
      <c r="P21" s="188">
        <f t="shared" si="8"/>
        <v>1622.5</v>
      </c>
      <c r="Q21" s="68">
        <v>0</v>
      </c>
      <c r="R21" s="41"/>
      <c r="S21" s="59">
        <f t="shared" si="6"/>
        <v>19470</v>
      </c>
      <c r="T21" s="41"/>
      <c r="U21" s="37">
        <v>19470</v>
      </c>
    </row>
    <row r="22" spans="1:21" s="37" customFormat="1" ht="12" x14ac:dyDescent="0.2">
      <c r="A22" s="45"/>
      <c r="C22" s="38"/>
      <c r="E22" s="73">
        <f>SUBTOTAL(9,E19:E21)</f>
        <v>1622.5</v>
      </c>
      <c r="F22" s="73">
        <f t="shared" ref="F22:P22" si="9">SUBTOTAL(9,F19:F21)</f>
        <v>1622.5</v>
      </c>
      <c r="G22" s="73">
        <f t="shared" si="9"/>
        <v>1622.5</v>
      </c>
      <c r="H22" s="73">
        <f t="shared" si="9"/>
        <v>1622.5</v>
      </c>
      <c r="I22" s="73">
        <f t="shared" si="9"/>
        <v>1622.5</v>
      </c>
      <c r="J22" s="73">
        <f t="shared" si="9"/>
        <v>1622.5</v>
      </c>
      <c r="K22" s="73">
        <f t="shared" si="9"/>
        <v>1622.5</v>
      </c>
      <c r="L22" s="73">
        <f t="shared" si="9"/>
        <v>1622.5</v>
      </c>
      <c r="M22" s="73">
        <f t="shared" si="9"/>
        <v>1622.5</v>
      </c>
      <c r="N22" s="73">
        <f t="shared" si="9"/>
        <v>1622.5</v>
      </c>
      <c r="O22" s="73">
        <f t="shared" si="9"/>
        <v>1622.5</v>
      </c>
      <c r="P22" s="73">
        <f t="shared" si="9"/>
        <v>1622.5</v>
      </c>
      <c r="Q22" s="73">
        <f>SUBTOTAL(9,Q19:Q21)</f>
        <v>0</v>
      </c>
      <c r="R22" s="41"/>
      <c r="S22" s="61">
        <f>SUBTOTAL(9,S19:S21)</f>
        <v>19470</v>
      </c>
      <c r="T22" s="41"/>
    </row>
    <row r="23" spans="1:21" s="37" customFormat="1" ht="12" x14ac:dyDescent="0.2">
      <c r="A23" s="45"/>
      <c r="C23" s="49" t="s">
        <v>150</v>
      </c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41"/>
      <c r="S23" s="62"/>
      <c r="T23" s="41"/>
    </row>
    <row r="24" spans="1:21" s="37" customFormat="1" ht="12" x14ac:dyDescent="0.2">
      <c r="A24" s="45"/>
      <c r="C24" s="199">
        <v>1790</v>
      </c>
      <c r="D24" s="37" t="s">
        <v>4</v>
      </c>
      <c r="E24" s="188">
        <f>$U24/12</f>
        <v>42382.5</v>
      </c>
      <c r="F24" s="188">
        <f t="shared" ref="F24:O24" si="10">$U24/12</f>
        <v>42382.5</v>
      </c>
      <c r="G24" s="188">
        <f t="shared" si="10"/>
        <v>42382.5</v>
      </c>
      <c r="H24" s="188">
        <f t="shared" si="10"/>
        <v>42382.5</v>
      </c>
      <c r="I24" s="188">
        <f t="shared" si="10"/>
        <v>42382.5</v>
      </c>
      <c r="J24" s="188">
        <f t="shared" si="10"/>
        <v>42382.5</v>
      </c>
      <c r="K24" s="188">
        <f t="shared" si="10"/>
        <v>42382.5</v>
      </c>
      <c r="L24" s="188">
        <f t="shared" si="10"/>
        <v>42382.5</v>
      </c>
      <c r="M24" s="188">
        <f t="shared" si="10"/>
        <v>42382.5</v>
      </c>
      <c r="N24" s="188">
        <f t="shared" si="10"/>
        <v>42382.5</v>
      </c>
      <c r="O24" s="188">
        <f t="shared" si="10"/>
        <v>42382.5</v>
      </c>
      <c r="P24" s="188">
        <f>$U24/12</f>
        <v>42382.5</v>
      </c>
      <c r="Q24" s="68">
        <v>0</v>
      </c>
      <c r="R24" s="41"/>
      <c r="S24" s="59">
        <f>SUM(E24:Q24)</f>
        <v>508590</v>
      </c>
      <c r="T24" s="41"/>
      <c r="U24" s="37">
        <v>508590</v>
      </c>
    </row>
    <row r="25" spans="1:21" s="37" customFormat="1" ht="12" x14ac:dyDescent="0.2">
      <c r="A25" s="45"/>
      <c r="C25" s="38"/>
      <c r="E25" s="73">
        <f>SUBTOTAL(9,E24)</f>
        <v>42382.5</v>
      </c>
      <c r="F25" s="73">
        <f t="shared" ref="F25:S25" si="11">SUBTOTAL(9,F24)</f>
        <v>42382.5</v>
      </c>
      <c r="G25" s="73">
        <f t="shared" si="11"/>
        <v>42382.5</v>
      </c>
      <c r="H25" s="73">
        <f t="shared" si="11"/>
        <v>42382.5</v>
      </c>
      <c r="I25" s="73">
        <f t="shared" si="11"/>
        <v>42382.5</v>
      </c>
      <c r="J25" s="73">
        <f t="shared" si="11"/>
        <v>42382.5</v>
      </c>
      <c r="K25" s="73">
        <f t="shared" si="11"/>
        <v>42382.5</v>
      </c>
      <c r="L25" s="73">
        <f t="shared" si="11"/>
        <v>42382.5</v>
      </c>
      <c r="M25" s="73">
        <f t="shared" si="11"/>
        <v>42382.5</v>
      </c>
      <c r="N25" s="73">
        <f t="shared" si="11"/>
        <v>42382.5</v>
      </c>
      <c r="O25" s="73">
        <f t="shared" si="11"/>
        <v>42382.5</v>
      </c>
      <c r="P25" s="73">
        <f t="shared" si="11"/>
        <v>42382.5</v>
      </c>
      <c r="Q25" s="73">
        <f t="shared" si="11"/>
        <v>0</v>
      </c>
      <c r="R25" s="41"/>
      <c r="S25" s="61">
        <f t="shared" si="11"/>
        <v>508590</v>
      </c>
      <c r="T25" s="41"/>
    </row>
    <row r="26" spans="1:21" s="37" customFormat="1" ht="9" customHeight="1" x14ac:dyDescent="0.2">
      <c r="A26" s="45"/>
      <c r="C26" s="38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41"/>
      <c r="S26" s="59"/>
      <c r="T26" s="41"/>
    </row>
    <row r="27" spans="1:21" s="45" customFormat="1" ht="12" x14ac:dyDescent="0.2">
      <c r="A27" s="45" t="s">
        <v>105</v>
      </c>
      <c r="C27" s="46"/>
      <c r="E27" s="71">
        <f t="shared" ref="E27:Q27" si="12">SUBTOTAL(9,E8:E26)</f>
        <v>169630</v>
      </c>
      <c r="F27" s="71">
        <f t="shared" si="12"/>
        <v>169630</v>
      </c>
      <c r="G27" s="71">
        <f t="shared" si="12"/>
        <v>169630</v>
      </c>
      <c r="H27" s="71">
        <f t="shared" si="12"/>
        <v>169630</v>
      </c>
      <c r="I27" s="71">
        <f t="shared" si="12"/>
        <v>169630</v>
      </c>
      <c r="J27" s="71">
        <f t="shared" si="12"/>
        <v>169630</v>
      </c>
      <c r="K27" s="71">
        <f t="shared" si="12"/>
        <v>169630</v>
      </c>
      <c r="L27" s="71">
        <f t="shared" si="12"/>
        <v>169630</v>
      </c>
      <c r="M27" s="71">
        <f t="shared" si="12"/>
        <v>169630</v>
      </c>
      <c r="N27" s="71">
        <f t="shared" si="12"/>
        <v>169630</v>
      </c>
      <c r="O27" s="71">
        <f t="shared" si="12"/>
        <v>169630</v>
      </c>
      <c r="P27" s="71">
        <f t="shared" si="12"/>
        <v>169630</v>
      </c>
      <c r="Q27" s="69">
        <f t="shared" si="12"/>
        <v>2.6800000000062028</v>
      </c>
      <c r="R27" s="48"/>
      <c r="S27" s="60">
        <f>SUBTOTAL(9,S8:S26)</f>
        <v>2035562.6800000002</v>
      </c>
      <c r="T27" s="48"/>
    </row>
    <row r="28" spans="1:21" s="45" customFormat="1" ht="12" x14ac:dyDescent="0.2">
      <c r="C28" s="46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67"/>
      <c r="R28" s="48"/>
      <c r="S28" s="59"/>
      <c r="T28" s="48"/>
    </row>
    <row r="29" spans="1:21" s="37" customFormat="1" ht="12" x14ac:dyDescent="0.2">
      <c r="A29" s="45" t="s">
        <v>59</v>
      </c>
      <c r="C29" s="38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41"/>
      <c r="S29" s="59"/>
      <c r="T29" s="41"/>
    </row>
    <row r="30" spans="1:21" s="37" customFormat="1" ht="12" x14ac:dyDescent="0.2">
      <c r="C30" s="49" t="s">
        <v>8</v>
      </c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41"/>
      <c r="S30" s="59"/>
      <c r="T30" s="41"/>
    </row>
    <row r="31" spans="1:21" s="37" customFormat="1" ht="12" x14ac:dyDescent="0.2">
      <c r="C31" s="199">
        <v>6111</v>
      </c>
      <c r="D31" s="37" t="s">
        <v>191</v>
      </c>
      <c r="E31" s="188">
        <f t="shared" ref="E31:P40" si="13">$U31/12</f>
        <v>0</v>
      </c>
      <c r="F31" s="188">
        <f t="shared" si="13"/>
        <v>0</v>
      </c>
      <c r="G31" s="188">
        <f t="shared" si="13"/>
        <v>0</v>
      </c>
      <c r="H31" s="188">
        <f t="shared" si="13"/>
        <v>0</v>
      </c>
      <c r="I31" s="188">
        <f t="shared" si="13"/>
        <v>0</v>
      </c>
      <c r="J31" s="188">
        <f t="shared" si="13"/>
        <v>0</v>
      </c>
      <c r="K31" s="188">
        <f t="shared" si="13"/>
        <v>0</v>
      </c>
      <c r="L31" s="188">
        <f t="shared" si="13"/>
        <v>0</v>
      </c>
      <c r="M31" s="188">
        <f t="shared" si="13"/>
        <v>0</v>
      </c>
      <c r="N31" s="188">
        <f t="shared" si="13"/>
        <v>0</v>
      </c>
      <c r="O31" s="188">
        <f t="shared" si="13"/>
        <v>0</v>
      </c>
      <c r="P31" s="188">
        <f t="shared" si="13"/>
        <v>0</v>
      </c>
      <c r="Q31" s="68">
        <v>0</v>
      </c>
      <c r="R31" s="41"/>
      <c r="S31" s="59">
        <f t="shared" ref="S31:S40" si="14">SUM(E31:Q31)</f>
        <v>0</v>
      </c>
      <c r="T31" s="41"/>
    </row>
    <row r="32" spans="1:21" s="37" customFormat="1" ht="12" x14ac:dyDescent="0.2">
      <c r="C32" s="199">
        <v>6114</v>
      </c>
      <c r="D32" s="37" t="s">
        <v>192</v>
      </c>
      <c r="E32" s="188">
        <f t="shared" si="13"/>
        <v>20191.666666666668</v>
      </c>
      <c r="F32" s="188">
        <f t="shared" si="13"/>
        <v>20191.666666666668</v>
      </c>
      <c r="G32" s="188">
        <f t="shared" si="13"/>
        <v>20191.666666666668</v>
      </c>
      <c r="H32" s="188">
        <f t="shared" si="13"/>
        <v>20191.666666666668</v>
      </c>
      <c r="I32" s="188">
        <f t="shared" si="13"/>
        <v>20191.666666666668</v>
      </c>
      <c r="J32" s="188">
        <f t="shared" si="13"/>
        <v>20191.666666666668</v>
      </c>
      <c r="K32" s="188">
        <f t="shared" si="13"/>
        <v>20191.666666666668</v>
      </c>
      <c r="L32" s="188">
        <f t="shared" si="13"/>
        <v>20191.666666666668</v>
      </c>
      <c r="M32" s="188">
        <f t="shared" si="13"/>
        <v>20191.666666666668</v>
      </c>
      <c r="N32" s="188">
        <f t="shared" si="13"/>
        <v>20191.666666666668</v>
      </c>
      <c r="O32" s="188">
        <f t="shared" si="13"/>
        <v>20191.666666666668</v>
      </c>
      <c r="P32" s="188">
        <f t="shared" si="13"/>
        <v>20191.666666666668</v>
      </c>
      <c r="Q32" s="68">
        <v>0</v>
      </c>
      <c r="R32" s="41"/>
      <c r="S32" s="59">
        <f t="shared" si="14"/>
        <v>242299.99999999997</v>
      </c>
      <c r="T32" s="41"/>
      <c r="U32" s="37">
        <v>242300</v>
      </c>
    </row>
    <row r="33" spans="3:21" s="37" customFormat="1" ht="12" x14ac:dyDescent="0.2">
      <c r="C33" s="199">
        <v>6117</v>
      </c>
      <c r="D33" s="37" t="s">
        <v>228</v>
      </c>
      <c r="E33" s="188">
        <f t="shared" si="13"/>
        <v>56554.914166666662</v>
      </c>
      <c r="F33" s="188">
        <f t="shared" si="13"/>
        <v>56554.914166666662</v>
      </c>
      <c r="G33" s="188">
        <f t="shared" si="13"/>
        <v>56554.914166666662</v>
      </c>
      <c r="H33" s="188">
        <f t="shared" si="13"/>
        <v>56554.914166666662</v>
      </c>
      <c r="I33" s="188">
        <f t="shared" si="13"/>
        <v>56554.914166666662</v>
      </c>
      <c r="J33" s="188">
        <f t="shared" si="13"/>
        <v>56554.914166666662</v>
      </c>
      <c r="K33" s="188">
        <f t="shared" si="13"/>
        <v>56554.914166666662</v>
      </c>
      <c r="L33" s="188">
        <f t="shared" si="13"/>
        <v>56554.914166666662</v>
      </c>
      <c r="M33" s="188">
        <f t="shared" si="13"/>
        <v>56554.914166666662</v>
      </c>
      <c r="N33" s="188">
        <f t="shared" si="13"/>
        <v>56554.914166666662</v>
      </c>
      <c r="O33" s="188">
        <f t="shared" si="13"/>
        <v>56554.914166666662</v>
      </c>
      <c r="P33" s="188">
        <f>$U33/12</f>
        <v>56554.914166666662</v>
      </c>
      <c r="Q33" s="68">
        <v>0</v>
      </c>
      <c r="R33" s="41"/>
      <c r="S33" s="59">
        <f t="shared" si="14"/>
        <v>678658.97000000009</v>
      </c>
      <c r="T33" s="41"/>
      <c r="U33" s="37">
        <f>672178.97+6480</f>
        <v>678658.97</v>
      </c>
    </row>
    <row r="34" spans="3:21" s="37" customFormat="1" ht="12" x14ac:dyDescent="0.2">
      <c r="C34" s="199">
        <v>6127</v>
      </c>
      <c r="D34" s="37" t="s">
        <v>229</v>
      </c>
      <c r="E34" s="188">
        <f t="shared" si="13"/>
        <v>0</v>
      </c>
      <c r="F34" s="188">
        <f t="shared" si="13"/>
        <v>0</v>
      </c>
      <c r="G34" s="188">
        <f t="shared" si="13"/>
        <v>0</v>
      </c>
      <c r="H34" s="188">
        <f t="shared" si="13"/>
        <v>0</v>
      </c>
      <c r="I34" s="188">
        <f t="shared" si="13"/>
        <v>0</v>
      </c>
      <c r="J34" s="188">
        <f t="shared" si="13"/>
        <v>0</v>
      </c>
      <c r="K34" s="188">
        <f t="shared" si="13"/>
        <v>0</v>
      </c>
      <c r="L34" s="188">
        <f t="shared" si="13"/>
        <v>0</v>
      </c>
      <c r="M34" s="188">
        <f t="shared" si="13"/>
        <v>0</v>
      </c>
      <c r="N34" s="188">
        <f t="shared" si="13"/>
        <v>0</v>
      </c>
      <c r="O34" s="188">
        <f t="shared" si="13"/>
        <v>0</v>
      </c>
      <c r="P34" s="188">
        <f t="shared" si="13"/>
        <v>0</v>
      </c>
      <c r="Q34" s="68">
        <v>0</v>
      </c>
      <c r="R34" s="41"/>
      <c r="S34" s="59">
        <f t="shared" si="14"/>
        <v>0</v>
      </c>
      <c r="T34" s="41"/>
    </row>
    <row r="35" spans="3:21" s="37" customFormat="1" ht="12" x14ac:dyDescent="0.2">
      <c r="C35" s="199">
        <v>6151</v>
      </c>
      <c r="D35" s="37" t="s">
        <v>189</v>
      </c>
      <c r="E35" s="188">
        <f t="shared" si="13"/>
        <v>0</v>
      </c>
      <c r="F35" s="188">
        <f t="shared" si="13"/>
        <v>0</v>
      </c>
      <c r="G35" s="188">
        <f t="shared" si="13"/>
        <v>0</v>
      </c>
      <c r="H35" s="188">
        <f t="shared" si="13"/>
        <v>0</v>
      </c>
      <c r="I35" s="188">
        <f t="shared" si="13"/>
        <v>0</v>
      </c>
      <c r="J35" s="188">
        <f t="shared" si="13"/>
        <v>0</v>
      </c>
      <c r="K35" s="188">
        <f t="shared" si="13"/>
        <v>0</v>
      </c>
      <c r="L35" s="188">
        <f t="shared" si="13"/>
        <v>0</v>
      </c>
      <c r="M35" s="188">
        <f t="shared" si="13"/>
        <v>0</v>
      </c>
      <c r="N35" s="188">
        <f t="shared" si="13"/>
        <v>0</v>
      </c>
      <c r="O35" s="188">
        <f t="shared" si="13"/>
        <v>0</v>
      </c>
      <c r="P35" s="188">
        <f t="shared" si="13"/>
        <v>0</v>
      </c>
      <c r="Q35" s="68">
        <v>0</v>
      </c>
      <c r="R35" s="41"/>
      <c r="S35" s="59">
        <f t="shared" si="14"/>
        <v>0</v>
      </c>
      <c r="T35" s="41"/>
    </row>
    <row r="36" spans="3:21" s="37" customFormat="1" ht="12" x14ac:dyDescent="0.2">
      <c r="C36" s="199">
        <v>6154</v>
      </c>
      <c r="D36" s="37" t="s">
        <v>190</v>
      </c>
      <c r="E36" s="188">
        <f t="shared" si="13"/>
        <v>699.58333333333337</v>
      </c>
      <c r="F36" s="188">
        <f t="shared" si="13"/>
        <v>699.58333333333337</v>
      </c>
      <c r="G36" s="188">
        <f t="shared" si="13"/>
        <v>699.58333333333337</v>
      </c>
      <c r="H36" s="188">
        <f t="shared" si="13"/>
        <v>699.58333333333337</v>
      </c>
      <c r="I36" s="188">
        <f t="shared" si="13"/>
        <v>699.58333333333337</v>
      </c>
      <c r="J36" s="188">
        <f t="shared" si="13"/>
        <v>699.58333333333337</v>
      </c>
      <c r="K36" s="188">
        <f t="shared" si="13"/>
        <v>699.58333333333337</v>
      </c>
      <c r="L36" s="188">
        <f t="shared" si="13"/>
        <v>699.58333333333337</v>
      </c>
      <c r="M36" s="188">
        <f t="shared" si="13"/>
        <v>699.58333333333337</v>
      </c>
      <c r="N36" s="188">
        <f t="shared" si="13"/>
        <v>699.58333333333337</v>
      </c>
      <c r="O36" s="188">
        <f t="shared" si="13"/>
        <v>699.58333333333337</v>
      </c>
      <c r="P36" s="188">
        <f t="shared" si="13"/>
        <v>699.58333333333337</v>
      </c>
      <c r="Q36" s="68">
        <v>0</v>
      </c>
      <c r="R36" s="41"/>
      <c r="S36" s="59">
        <f t="shared" si="14"/>
        <v>8394.9999999999982</v>
      </c>
      <c r="T36" s="41"/>
      <c r="U36" s="37">
        <v>8395</v>
      </c>
    </row>
    <row r="37" spans="3:21" s="37" customFormat="1" ht="12" x14ac:dyDescent="0.2">
      <c r="C37" s="199">
        <v>6157</v>
      </c>
      <c r="D37" s="37" t="s">
        <v>230</v>
      </c>
      <c r="E37" s="188">
        <f t="shared" si="13"/>
        <v>4537.6944444444443</v>
      </c>
      <c r="F37" s="188">
        <f t="shared" si="13"/>
        <v>4537.6944444444443</v>
      </c>
      <c r="G37" s="188">
        <f t="shared" si="13"/>
        <v>4537.6944444444443</v>
      </c>
      <c r="H37" s="188">
        <f t="shared" si="13"/>
        <v>4537.6944444444443</v>
      </c>
      <c r="I37" s="188">
        <f t="shared" si="13"/>
        <v>4537.6944444444443</v>
      </c>
      <c r="J37" s="188">
        <f t="shared" si="13"/>
        <v>4537.6944444444443</v>
      </c>
      <c r="K37" s="188">
        <f t="shared" si="13"/>
        <v>4537.6944444444443</v>
      </c>
      <c r="L37" s="188">
        <f t="shared" si="13"/>
        <v>4537.6944444444443</v>
      </c>
      <c r="M37" s="188">
        <f t="shared" si="13"/>
        <v>4537.6944444444443</v>
      </c>
      <c r="N37" s="188">
        <f t="shared" si="13"/>
        <v>4537.6944444444443</v>
      </c>
      <c r="O37" s="188">
        <f t="shared" si="13"/>
        <v>4537.6944444444443</v>
      </c>
      <c r="P37" s="188">
        <f t="shared" si="13"/>
        <v>4537.6944444444443</v>
      </c>
      <c r="Q37" s="68">
        <v>0</v>
      </c>
      <c r="R37" s="41"/>
      <c r="S37" s="59">
        <f t="shared" si="14"/>
        <v>54452.333333333336</v>
      </c>
      <c r="T37" s="41"/>
      <c r="U37" s="37">
        <v>54452.333333333328</v>
      </c>
    </row>
    <row r="38" spans="3:21" s="37" customFormat="1" ht="12" x14ac:dyDescent="0.2">
      <c r="C38" s="199">
        <v>6161</v>
      </c>
      <c r="D38" s="37" t="s">
        <v>97</v>
      </c>
      <c r="E38" s="188">
        <f t="shared" si="13"/>
        <v>0</v>
      </c>
      <c r="F38" s="188">
        <f t="shared" si="13"/>
        <v>0</v>
      </c>
      <c r="G38" s="188">
        <f t="shared" si="13"/>
        <v>0</v>
      </c>
      <c r="H38" s="188">
        <f t="shared" si="13"/>
        <v>0</v>
      </c>
      <c r="I38" s="188">
        <f t="shared" si="13"/>
        <v>0</v>
      </c>
      <c r="J38" s="188">
        <f t="shared" si="13"/>
        <v>0</v>
      </c>
      <c r="K38" s="188">
        <f t="shared" si="13"/>
        <v>0</v>
      </c>
      <c r="L38" s="188">
        <f t="shared" si="13"/>
        <v>0</v>
      </c>
      <c r="M38" s="188">
        <f t="shared" si="13"/>
        <v>0</v>
      </c>
      <c r="N38" s="188">
        <f t="shared" si="13"/>
        <v>0</v>
      </c>
      <c r="O38" s="188">
        <f t="shared" si="13"/>
        <v>0</v>
      </c>
      <c r="P38" s="188">
        <f t="shared" si="13"/>
        <v>0</v>
      </c>
      <c r="Q38" s="68">
        <v>0</v>
      </c>
      <c r="R38" s="41"/>
      <c r="S38" s="59">
        <f t="shared" si="14"/>
        <v>0</v>
      </c>
      <c r="T38" s="41"/>
    </row>
    <row r="39" spans="3:21" s="37" customFormat="1" ht="12" x14ac:dyDescent="0.2">
      <c r="C39" s="199">
        <v>6164</v>
      </c>
      <c r="D39" s="37" t="s">
        <v>98</v>
      </c>
      <c r="E39" s="188">
        <f t="shared" si="13"/>
        <v>0</v>
      </c>
      <c r="F39" s="188">
        <f t="shared" si="13"/>
        <v>0</v>
      </c>
      <c r="G39" s="188">
        <f t="shared" si="13"/>
        <v>0</v>
      </c>
      <c r="H39" s="188">
        <f t="shared" si="13"/>
        <v>0</v>
      </c>
      <c r="I39" s="188">
        <f t="shared" si="13"/>
        <v>0</v>
      </c>
      <c r="J39" s="188">
        <f t="shared" si="13"/>
        <v>0</v>
      </c>
      <c r="K39" s="188">
        <f t="shared" si="13"/>
        <v>0</v>
      </c>
      <c r="L39" s="188">
        <f t="shared" si="13"/>
        <v>0</v>
      </c>
      <c r="M39" s="188">
        <f t="shared" si="13"/>
        <v>0</v>
      </c>
      <c r="N39" s="188">
        <f t="shared" si="13"/>
        <v>0</v>
      </c>
      <c r="O39" s="188">
        <f t="shared" si="13"/>
        <v>0</v>
      </c>
      <c r="P39" s="188">
        <f t="shared" si="13"/>
        <v>0</v>
      </c>
      <c r="Q39" s="68">
        <v>0</v>
      </c>
      <c r="R39" s="41"/>
      <c r="S39" s="59">
        <f t="shared" si="14"/>
        <v>0</v>
      </c>
      <c r="T39" s="41"/>
    </row>
    <row r="40" spans="3:21" s="37" customFormat="1" ht="12" x14ac:dyDescent="0.2">
      <c r="C40" s="199">
        <v>6167</v>
      </c>
      <c r="D40" s="37" t="s">
        <v>231</v>
      </c>
      <c r="E40" s="188">
        <f t="shared" si="13"/>
        <v>0</v>
      </c>
      <c r="F40" s="188">
        <f t="shared" si="13"/>
        <v>0</v>
      </c>
      <c r="G40" s="188">
        <f t="shared" si="13"/>
        <v>0</v>
      </c>
      <c r="H40" s="188">
        <f t="shared" si="13"/>
        <v>0</v>
      </c>
      <c r="I40" s="188">
        <f t="shared" si="13"/>
        <v>0</v>
      </c>
      <c r="J40" s="188">
        <f t="shared" si="13"/>
        <v>0</v>
      </c>
      <c r="K40" s="188">
        <f t="shared" si="13"/>
        <v>0</v>
      </c>
      <c r="L40" s="188">
        <f t="shared" si="13"/>
        <v>0</v>
      </c>
      <c r="M40" s="188">
        <f t="shared" si="13"/>
        <v>0</v>
      </c>
      <c r="N40" s="188">
        <f t="shared" si="13"/>
        <v>0</v>
      </c>
      <c r="O40" s="188">
        <f t="shared" si="13"/>
        <v>0</v>
      </c>
      <c r="P40" s="188">
        <f t="shared" si="13"/>
        <v>0</v>
      </c>
      <c r="Q40" s="68">
        <v>0</v>
      </c>
      <c r="R40" s="41"/>
      <c r="S40" s="59">
        <f t="shared" si="14"/>
        <v>0</v>
      </c>
      <c r="T40" s="41"/>
    </row>
    <row r="41" spans="3:21" s="37" customFormat="1" ht="12" x14ac:dyDescent="0.2">
      <c r="C41" s="38"/>
      <c r="E41" s="73">
        <f t="shared" ref="E41:Q41" si="15">SUBTOTAL(9,E31:E40)</f>
        <v>81983.858611111093</v>
      </c>
      <c r="F41" s="73">
        <f t="shared" si="15"/>
        <v>81983.858611111093</v>
      </c>
      <c r="G41" s="73">
        <f t="shared" si="15"/>
        <v>81983.858611111093</v>
      </c>
      <c r="H41" s="73">
        <f t="shared" si="15"/>
        <v>81983.858611111093</v>
      </c>
      <c r="I41" s="73">
        <f t="shared" si="15"/>
        <v>81983.858611111093</v>
      </c>
      <c r="J41" s="73">
        <f t="shared" si="15"/>
        <v>81983.858611111093</v>
      </c>
      <c r="K41" s="73">
        <f t="shared" si="15"/>
        <v>81983.858611111093</v>
      </c>
      <c r="L41" s="73">
        <f t="shared" si="15"/>
        <v>81983.858611111093</v>
      </c>
      <c r="M41" s="73">
        <f t="shared" si="15"/>
        <v>81983.858611111093</v>
      </c>
      <c r="N41" s="73">
        <f t="shared" si="15"/>
        <v>81983.858611111093</v>
      </c>
      <c r="O41" s="73">
        <f t="shared" si="15"/>
        <v>81983.858611111093</v>
      </c>
      <c r="P41" s="73">
        <f t="shared" si="15"/>
        <v>81983.858611111093</v>
      </c>
      <c r="Q41" s="73">
        <f t="shared" si="15"/>
        <v>0</v>
      </c>
      <c r="R41" s="41"/>
      <c r="S41" s="61">
        <f>SUBTOTAL(9,S31:S40)</f>
        <v>983806.30333333346</v>
      </c>
      <c r="T41" s="41"/>
    </row>
    <row r="42" spans="3:21" s="37" customFormat="1" ht="12" x14ac:dyDescent="0.2">
      <c r="C42" s="49" t="s">
        <v>99</v>
      </c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41"/>
      <c r="S42" s="59"/>
      <c r="T42" s="41"/>
    </row>
    <row r="43" spans="3:21" s="37" customFormat="1" ht="12" x14ac:dyDescent="0.2">
      <c r="C43" s="199">
        <v>6211</v>
      </c>
      <c r="D43" s="37" t="s">
        <v>198</v>
      </c>
      <c r="E43" s="188">
        <f t="shared" ref="E43:P61" si="16">$U43/12</f>
        <v>0</v>
      </c>
      <c r="F43" s="188">
        <f t="shared" si="16"/>
        <v>0</v>
      </c>
      <c r="G43" s="188">
        <f t="shared" si="16"/>
        <v>0</v>
      </c>
      <c r="H43" s="188">
        <f t="shared" si="16"/>
        <v>0</v>
      </c>
      <c r="I43" s="188">
        <f t="shared" si="16"/>
        <v>0</v>
      </c>
      <c r="J43" s="188">
        <f t="shared" si="16"/>
        <v>0</v>
      </c>
      <c r="K43" s="188">
        <f t="shared" si="16"/>
        <v>0</v>
      </c>
      <c r="L43" s="188">
        <f t="shared" si="16"/>
        <v>0</v>
      </c>
      <c r="M43" s="188">
        <f t="shared" si="16"/>
        <v>0</v>
      </c>
      <c r="N43" s="188">
        <f t="shared" si="16"/>
        <v>0</v>
      </c>
      <c r="O43" s="188">
        <f t="shared" si="16"/>
        <v>0</v>
      </c>
      <c r="P43" s="188">
        <f t="shared" si="16"/>
        <v>0</v>
      </c>
      <c r="Q43" s="68">
        <v>0</v>
      </c>
      <c r="R43" s="41"/>
      <c r="S43" s="59">
        <f>SUM(E43:Q43)</f>
        <v>0</v>
      </c>
      <c r="T43" s="41"/>
    </row>
    <row r="44" spans="3:21" s="37" customFormat="1" ht="12" x14ac:dyDescent="0.2">
      <c r="C44" s="199">
        <v>6214</v>
      </c>
      <c r="D44" s="37" t="s">
        <v>199</v>
      </c>
      <c r="E44" s="188">
        <f t="shared" si="16"/>
        <v>168</v>
      </c>
      <c r="F44" s="188">
        <f t="shared" si="16"/>
        <v>168</v>
      </c>
      <c r="G44" s="188">
        <f t="shared" si="16"/>
        <v>168</v>
      </c>
      <c r="H44" s="188">
        <f t="shared" si="16"/>
        <v>168</v>
      </c>
      <c r="I44" s="188">
        <f t="shared" si="16"/>
        <v>168</v>
      </c>
      <c r="J44" s="188">
        <f t="shared" si="16"/>
        <v>168</v>
      </c>
      <c r="K44" s="188">
        <f t="shared" si="16"/>
        <v>168</v>
      </c>
      <c r="L44" s="188">
        <f t="shared" si="16"/>
        <v>168</v>
      </c>
      <c r="M44" s="188">
        <f t="shared" si="16"/>
        <v>168</v>
      </c>
      <c r="N44" s="188">
        <f t="shared" si="16"/>
        <v>168</v>
      </c>
      <c r="O44" s="188">
        <f t="shared" si="16"/>
        <v>168</v>
      </c>
      <c r="P44" s="188">
        <f t="shared" si="16"/>
        <v>168</v>
      </c>
      <c r="Q44" s="68">
        <v>0</v>
      </c>
      <c r="R44" s="41"/>
      <c r="S44" s="59">
        <f t="shared" ref="S44:S61" si="17">SUM(E44:Q44)</f>
        <v>2016</v>
      </c>
      <c r="T44" s="41"/>
      <c r="U44" s="37">
        <v>2016</v>
      </c>
    </row>
    <row r="45" spans="3:21" s="37" customFormat="1" ht="12" x14ac:dyDescent="0.2">
      <c r="C45" s="199">
        <v>6217</v>
      </c>
      <c r="D45" s="37" t="s">
        <v>222</v>
      </c>
      <c r="E45" s="188">
        <f t="shared" si="16"/>
        <v>324</v>
      </c>
      <c r="F45" s="188">
        <f t="shared" si="16"/>
        <v>324</v>
      </c>
      <c r="G45" s="188">
        <f t="shared" si="16"/>
        <v>324</v>
      </c>
      <c r="H45" s="188">
        <f t="shared" si="16"/>
        <v>324</v>
      </c>
      <c r="I45" s="188">
        <f t="shared" si="16"/>
        <v>324</v>
      </c>
      <c r="J45" s="188">
        <f t="shared" si="16"/>
        <v>324</v>
      </c>
      <c r="K45" s="188">
        <f t="shared" si="16"/>
        <v>324</v>
      </c>
      <c r="L45" s="188">
        <f t="shared" si="16"/>
        <v>324</v>
      </c>
      <c r="M45" s="188">
        <f t="shared" si="16"/>
        <v>324</v>
      </c>
      <c r="N45" s="188">
        <f t="shared" si="16"/>
        <v>324</v>
      </c>
      <c r="O45" s="188">
        <f t="shared" si="16"/>
        <v>324</v>
      </c>
      <c r="P45" s="188">
        <f t="shared" si="16"/>
        <v>324</v>
      </c>
      <c r="Q45" s="68">
        <v>0</v>
      </c>
      <c r="R45" s="41"/>
      <c r="S45" s="59">
        <f t="shared" si="17"/>
        <v>3888</v>
      </c>
      <c r="T45" s="41"/>
      <c r="U45" s="37">
        <v>3888</v>
      </c>
    </row>
    <row r="46" spans="3:21" s="37" customFormat="1" ht="12" x14ac:dyDescent="0.2">
      <c r="C46" s="199">
        <v>6227</v>
      </c>
      <c r="D46" s="37" t="s">
        <v>221</v>
      </c>
      <c r="E46" s="188">
        <f t="shared" si="16"/>
        <v>0</v>
      </c>
      <c r="F46" s="188">
        <f t="shared" si="16"/>
        <v>0</v>
      </c>
      <c r="G46" s="188">
        <f t="shared" si="16"/>
        <v>0</v>
      </c>
      <c r="H46" s="188">
        <f t="shared" si="16"/>
        <v>0</v>
      </c>
      <c r="I46" s="188">
        <f t="shared" si="16"/>
        <v>0</v>
      </c>
      <c r="J46" s="188">
        <f t="shared" si="16"/>
        <v>0</v>
      </c>
      <c r="K46" s="188">
        <f t="shared" si="16"/>
        <v>0</v>
      </c>
      <c r="L46" s="188">
        <f t="shared" si="16"/>
        <v>0</v>
      </c>
      <c r="M46" s="188">
        <f t="shared" si="16"/>
        <v>0</v>
      </c>
      <c r="N46" s="188">
        <f t="shared" si="16"/>
        <v>0</v>
      </c>
      <c r="O46" s="188">
        <f t="shared" si="16"/>
        <v>0</v>
      </c>
      <c r="P46" s="188">
        <f t="shared" si="16"/>
        <v>0</v>
      </c>
      <c r="Q46" s="68">
        <v>0</v>
      </c>
      <c r="R46" s="41"/>
      <c r="S46" s="59">
        <f t="shared" si="17"/>
        <v>0</v>
      </c>
      <c r="T46" s="41"/>
    </row>
    <row r="47" spans="3:21" s="37" customFormat="1" ht="12" x14ac:dyDescent="0.2">
      <c r="C47" s="199">
        <v>6231</v>
      </c>
      <c r="D47" s="37" t="s">
        <v>205</v>
      </c>
      <c r="E47" s="188">
        <f t="shared" si="16"/>
        <v>0</v>
      </c>
      <c r="F47" s="188">
        <f t="shared" si="16"/>
        <v>0</v>
      </c>
      <c r="G47" s="188">
        <f t="shared" si="16"/>
        <v>0</v>
      </c>
      <c r="H47" s="188">
        <f t="shared" si="16"/>
        <v>0</v>
      </c>
      <c r="I47" s="188">
        <f t="shared" si="16"/>
        <v>0</v>
      </c>
      <c r="J47" s="188">
        <f t="shared" si="16"/>
        <v>0</v>
      </c>
      <c r="K47" s="188">
        <f t="shared" si="16"/>
        <v>0</v>
      </c>
      <c r="L47" s="188">
        <f t="shared" si="16"/>
        <v>0</v>
      </c>
      <c r="M47" s="188">
        <f t="shared" si="16"/>
        <v>0</v>
      </c>
      <c r="N47" s="188">
        <f t="shared" si="16"/>
        <v>0</v>
      </c>
      <c r="O47" s="188">
        <f t="shared" si="16"/>
        <v>0</v>
      </c>
      <c r="P47" s="188">
        <f t="shared" si="16"/>
        <v>0</v>
      </c>
      <c r="Q47" s="68">
        <v>0</v>
      </c>
      <c r="R47" s="41"/>
      <c r="S47" s="59">
        <f t="shared" si="17"/>
        <v>0</v>
      </c>
      <c r="T47" s="41"/>
    </row>
    <row r="48" spans="3:21" s="37" customFormat="1" ht="12" x14ac:dyDescent="0.2">
      <c r="C48" s="199">
        <v>6234</v>
      </c>
      <c r="D48" s="37" t="s">
        <v>206</v>
      </c>
      <c r="E48" s="188">
        <f t="shared" si="16"/>
        <v>5906.0625</v>
      </c>
      <c r="F48" s="188">
        <f t="shared" si="16"/>
        <v>5906.0625</v>
      </c>
      <c r="G48" s="188">
        <f t="shared" si="16"/>
        <v>5906.0625</v>
      </c>
      <c r="H48" s="188">
        <f t="shared" si="16"/>
        <v>5906.0625</v>
      </c>
      <c r="I48" s="188">
        <f t="shared" si="16"/>
        <v>5906.0625</v>
      </c>
      <c r="J48" s="188">
        <f t="shared" si="16"/>
        <v>5906.0625</v>
      </c>
      <c r="K48" s="188">
        <f t="shared" si="16"/>
        <v>5906.0625</v>
      </c>
      <c r="L48" s="188">
        <f t="shared" si="16"/>
        <v>5906.0625</v>
      </c>
      <c r="M48" s="188">
        <f t="shared" si="16"/>
        <v>5906.0625</v>
      </c>
      <c r="N48" s="188">
        <f t="shared" si="16"/>
        <v>5906.0625</v>
      </c>
      <c r="O48" s="188">
        <f t="shared" si="16"/>
        <v>5906.0625</v>
      </c>
      <c r="P48" s="188">
        <f t="shared" si="16"/>
        <v>5906.0625</v>
      </c>
      <c r="Q48" s="68">
        <v>0</v>
      </c>
      <c r="R48" s="41"/>
      <c r="S48" s="59">
        <f t="shared" si="17"/>
        <v>70872.75</v>
      </c>
      <c r="T48" s="41"/>
      <c r="U48" s="37">
        <v>70872.75</v>
      </c>
    </row>
    <row r="49" spans="3:21" s="37" customFormat="1" ht="12" x14ac:dyDescent="0.2">
      <c r="C49" s="199">
        <v>6237</v>
      </c>
      <c r="D49" s="37" t="s">
        <v>223</v>
      </c>
      <c r="E49" s="188">
        <f t="shared" si="16"/>
        <v>12644.594193750003</v>
      </c>
      <c r="F49" s="188">
        <f t="shared" si="16"/>
        <v>12644.594193750003</v>
      </c>
      <c r="G49" s="188">
        <f t="shared" si="16"/>
        <v>12644.594193750003</v>
      </c>
      <c r="H49" s="188">
        <f t="shared" si="16"/>
        <v>12644.594193750003</v>
      </c>
      <c r="I49" s="188">
        <f t="shared" si="16"/>
        <v>12644.594193750003</v>
      </c>
      <c r="J49" s="188">
        <f t="shared" si="16"/>
        <v>12644.594193750003</v>
      </c>
      <c r="K49" s="188">
        <f t="shared" si="16"/>
        <v>12644.594193750003</v>
      </c>
      <c r="L49" s="188">
        <f t="shared" si="16"/>
        <v>12644.594193750003</v>
      </c>
      <c r="M49" s="188">
        <f t="shared" si="16"/>
        <v>12644.594193750003</v>
      </c>
      <c r="N49" s="188">
        <f t="shared" si="16"/>
        <v>12644.594193750003</v>
      </c>
      <c r="O49" s="188">
        <f t="shared" si="16"/>
        <v>12644.594193750003</v>
      </c>
      <c r="P49" s="188">
        <f t="shared" si="16"/>
        <v>12644.594193750003</v>
      </c>
      <c r="Q49" s="68">
        <v>0</v>
      </c>
      <c r="R49" s="41"/>
      <c r="S49" s="59">
        <f t="shared" si="17"/>
        <v>151735.13032500003</v>
      </c>
      <c r="T49" s="41"/>
      <c r="U49" s="37">
        <v>151735.13032500003</v>
      </c>
    </row>
    <row r="50" spans="3:21" s="37" customFormat="1" ht="12" x14ac:dyDescent="0.2">
      <c r="C50" s="199">
        <v>6241</v>
      </c>
      <c r="D50" s="37" t="s">
        <v>196</v>
      </c>
      <c r="E50" s="188">
        <f t="shared" si="16"/>
        <v>0</v>
      </c>
      <c r="F50" s="188">
        <f t="shared" si="16"/>
        <v>0</v>
      </c>
      <c r="G50" s="188">
        <f t="shared" si="16"/>
        <v>0</v>
      </c>
      <c r="H50" s="188">
        <f t="shared" si="16"/>
        <v>0</v>
      </c>
      <c r="I50" s="188">
        <f t="shared" si="16"/>
        <v>0</v>
      </c>
      <c r="J50" s="188">
        <f t="shared" si="16"/>
        <v>0</v>
      </c>
      <c r="K50" s="188">
        <f t="shared" si="16"/>
        <v>0</v>
      </c>
      <c r="L50" s="188">
        <f t="shared" si="16"/>
        <v>0</v>
      </c>
      <c r="M50" s="188">
        <f t="shared" si="16"/>
        <v>0</v>
      </c>
      <c r="N50" s="188">
        <f t="shared" si="16"/>
        <v>0</v>
      </c>
      <c r="O50" s="188">
        <f t="shared" si="16"/>
        <v>0</v>
      </c>
      <c r="P50" s="188">
        <f t="shared" si="16"/>
        <v>0</v>
      </c>
      <c r="Q50" s="68">
        <v>0</v>
      </c>
      <c r="R50" s="41"/>
      <c r="S50" s="59">
        <f t="shared" si="17"/>
        <v>0</v>
      </c>
      <c r="T50" s="41"/>
    </row>
    <row r="51" spans="3:21" s="37" customFormat="1" ht="12" x14ac:dyDescent="0.2">
      <c r="C51" s="199">
        <v>6244</v>
      </c>
      <c r="D51" s="37" t="s">
        <v>197</v>
      </c>
      <c r="E51" s="188">
        <f t="shared" si="16"/>
        <v>292.77916666666675</v>
      </c>
      <c r="F51" s="188">
        <f t="shared" si="16"/>
        <v>292.77916666666675</v>
      </c>
      <c r="G51" s="188">
        <f t="shared" si="16"/>
        <v>292.77916666666675</v>
      </c>
      <c r="H51" s="188">
        <f t="shared" si="16"/>
        <v>292.77916666666675</v>
      </c>
      <c r="I51" s="188">
        <f t="shared" si="16"/>
        <v>292.77916666666675</v>
      </c>
      <c r="J51" s="188">
        <f t="shared" si="16"/>
        <v>292.77916666666675</v>
      </c>
      <c r="K51" s="188">
        <f t="shared" si="16"/>
        <v>292.77916666666675</v>
      </c>
      <c r="L51" s="188">
        <f t="shared" si="16"/>
        <v>292.77916666666675</v>
      </c>
      <c r="M51" s="188">
        <f t="shared" si="16"/>
        <v>292.77916666666675</v>
      </c>
      <c r="N51" s="188">
        <f t="shared" si="16"/>
        <v>292.77916666666675</v>
      </c>
      <c r="O51" s="188">
        <f t="shared" si="16"/>
        <v>292.77916666666675</v>
      </c>
      <c r="P51" s="188">
        <f t="shared" si="16"/>
        <v>292.77916666666675</v>
      </c>
      <c r="Q51" s="68">
        <v>0</v>
      </c>
      <c r="R51" s="41"/>
      <c r="S51" s="59">
        <f t="shared" si="17"/>
        <v>3513.3500000000008</v>
      </c>
      <c r="T51" s="41"/>
      <c r="U51" s="37">
        <v>3513.3500000000008</v>
      </c>
    </row>
    <row r="52" spans="3:21" s="37" customFormat="1" ht="12" x14ac:dyDescent="0.2">
      <c r="C52" s="199">
        <v>6247</v>
      </c>
      <c r="D52" s="37" t="s">
        <v>224</v>
      </c>
      <c r="E52" s="188">
        <f t="shared" si="16"/>
        <v>858.44588041666691</v>
      </c>
      <c r="F52" s="188">
        <f t="shared" si="16"/>
        <v>858.44588041666691</v>
      </c>
      <c r="G52" s="188">
        <f t="shared" si="16"/>
        <v>858.44588041666691</v>
      </c>
      <c r="H52" s="188">
        <f t="shared" si="16"/>
        <v>858.44588041666691</v>
      </c>
      <c r="I52" s="188">
        <f t="shared" si="16"/>
        <v>858.44588041666691</v>
      </c>
      <c r="J52" s="188">
        <f t="shared" si="16"/>
        <v>858.44588041666691</v>
      </c>
      <c r="K52" s="188">
        <f t="shared" si="16"/>
        <v>858.44588041666691</v>
      </c>
      <c r="L52" s="188">
        <f t="shared" si="16"/>
        <v>858.44588041666691</v>
      </c>
      <c r="M52" s="188">
        <f t="shared" si="16"/>
        <v>858.44588041666691</v>
      </c>
      <c r="N52" s="188">
        <f t="shared" si="16"/>
        <v>858.44588041666691</v>
      </c>
      <c r="O52" s="188">
        <f t="shared" si="16"/>
        <v>858.44588041666691</v>
      </c>
      <c r="P52" s="188">
        <f t="shared" si="16"/>
        <v>858.44588041666691</v>
      </c>
      <c r="Q52" s="68">
        <v>0</v>
      </c>
      <c r="R52" s="41"/>
      <c r="S52" s="59">
        <f t="shared" si="17"/>
        <v>10301.350565000001</v>
      </c>
      <c r="T52" s="41"/>
      <c r="U52" s="37">
        <v>10301.350565000002</v>
      </c>
    </row>
    <row r="53" spans="3:21" s="37" customFormat="1" ht="12" x14ac:dyDescent="0.2">
      <c r="C53" s="199">
        <v>6261</v>
      </c>
      <c r="D53" s="37" t="s">
        <v>207</v>
      </c>
      <c r="E53" s="188">
        <f t="shared" si="16"/>
        <v>0</v>
      </c>
      <c r="F53" s="188">
        <f t="shared" si="16"/>
        <v>0</v>
      </c>
      <c r="G53" s="188">
        <f t="shared" si="16"/>
        <v>0</v>
      </c>
      <c r="H53" s="188">
        <f t="shared" si="16"/>
        <v>0</v>
      </c>
      <c r="I53" s="188">
        <f t="shared" si="16"/>
        <v>0</v>
      </c>
      <c r="J53" s="188">
        <f t="shared" si="16"/>
        <v>0</v>
      </c>
      <c r="K53" s="188">
        <f t="shared" si="16"/>
        <v>0</v>
      </c>
      <c r="L53" s="188">
        <f t="shared" si="16"/>
        <v>0</v>
      </c>
      <c r="M53" s="188">
        <f t="shared" si="16"/>
        <v>0</v>
      </c>
      <c r="N53" s="188">
        <f t="shared" si="16"/>
        <v>0</v>
      </c>
      <c r="O53" s="188">
        <f t="shared" si="16"/>
        <v>0</v>
      </c>
      <c r="P53" s="188">
        <f t="shared" si="16"/>
        <v>0</v>
      </c>
      <c r="Q53" s="68">
        <v>0</v>
      </c>
      <c r="R53" s="41"/>
      <c r="S53" s="59">
        <f t="shared" si="17"/>
        <v>0</v>
      </c>
      <c r="T53" s="41"/>
    </row>
    <row r="54" spans="3:21" s="37" customFormat="1" ht="12" x14ac:dyDescent="0.2">
      <c r="C54" s="199">
        <v>6264</v>
      </c>
      <c r="D54" s="37" t="s">
        <v>208</v>
      </c>
      <c r="E54" s="188">
        <f t="shared" si="16"/>
        <v>78.000000000000014</v>
      </c>
      <c r="F54" s="188">
        <f t="shared" si="16"/>
        <v>78.000000000000014</v>
      </c>
      <c r="G54" s="188">
        <f t="shared" si="16"/>
        <v>78.000000000000014</v>
      </c>
      <c r="H54" s="188">
        <f t="shared" si="16"/>
        <v>78.000000000000014</v>
      </c>
      <c r="I54" s="188">
        <f t="shared" si="16"/>
        <v>78.000000000000014</v>
      </c>
      <c r="J54" s="188">
        <f t="shared" si="16"/>
        <v>78.000000000000014</v>
      </c>
      <c r="K54" s="188">
        <f t="shared" si="16"/>
        <v>78.000000000000014</v>
      </c>
      <c r="L54" s="188">
        <f t="shared" si="16"/>
        <v>78.000000000000014</v>
      </c>
      <c r="M54" s="188">
        <f t="shared" si="16"/>
        <v>78.000000000000014</v>
      </c>
      <c r="N54" s="188">
        <f t="shared" si="16"/>
        <v>78.000000000000014</v>
      </c>
      <c r="O54" s="188">
        <f t="shared" si="16"/>
        <v>78.000000000000014</v>
      </c>
      <c r="P54" s="188">
        <f t="shared" si="16"/>
        <v>78.000000000000014</v>
      </c>
      <c r="Q54" s="68">
        <v>0</v>
      </c>
      <c r="R54" s="41"/>
      <c r="S54" s="59">
        <f t="shared" si="17"/>
        <v>936.00000000000011</v>
      </c>
      <c r="T54" s="41"/>
      <c r="U54" s="37">
        <v>936.00000000000011</v>
      </c>
    </row>
    <row r="55" spans="3:21" s="37" customFormat="1" ht="12" x14ac:dyDescent="0.2">
      <c r="C55" s="199">
        <v>6267</v>
      </c>
      <c r="D55" s="37" t="s">
        <v>225</v>
      </c>
      <c r="E55" s="188">
        <f t="shared" si="16"/>
        <v>449.875</v>
      </c>
      <c r="F55" s="188">
        <f t="shared" si="16"/>
        <v>449.875</v>
      </c>
      <c r="G55" s="188">
        <f t="shared" si="16"/>
        <v>449.875</v>
      </c>
      <c r="H55" s="188">
        <f t="shared" si="16"/>
        <v>449.875</v>
      </c>
      <c r="I55" s="188">
        <f t="shared" si="16"/>
        <v>449.875</v>
      </c>
      <c r="J55" s="188">
        <f t="shared" si="16"/>
        <v>449.875</v>
      </c>
      <c r="K55" s="188">
        <f t="shared" si="16"/>
        <v>449.875</v>
      </c>
      <c r="L55" s="188">
        <f t="shared" si="16"/>
        <v>449.875</v>
      </c>
      <c r="M55" s="188">
        <f t="shared" si="16"/>
        <v>449.875</v>
      </c>
      <c r="N55" s="188">
        <f t="shared" si="16"/>
        <v>449.875</v>
      </c>
      <c r="O55" s="188">
        <f t="shared" si="16"/>
        <v>449.875</v>
      </c>
      <c r="P55" s="188">
        <f t="shared" si="16"/>
        <v>449.875</v>
      </c>
      <c r="Q55" s="68">
        <v>0</v>
      </c>
      <c r="R55" s="41"/>
      <c r="S55" s="59">
        <f t="shared" si="17"/>
        <v>5398.5</v>
      </c>
      <c r="T55" s="41"/>
      <c r="U55" s="37">
        <v>5398.5</v>
      </c>
    </row>
    <row r="56" spans="3:21" s="37" customFormat="1" ht="12" x14ac:dyDescent="0.2">
      <c r="C56" s="199">
        <v>6271</v>
      </c>
      <c r="D56" s="37" t="s">
        <v>209</v>
      </c>
      <c r="E56" s="188">
        <f t="shared" si="16"/>
        <v>0</v>
      </c>
      <c r="F56" s="188">
        <f t="shared" si="16"/>
        <v>0</v>
      </c>
      <c r="G56" s="188">
        <f t="shared" si="16"/>
        <v>0</v>
      </c>
      <c r="H56" s="188">
        <f t="shared" si="16"/>
        <v>0</v>
      </c>
      <c r="I56" s="188">
        <f t="shared" si="16"/>
        <v>0</v>
      </c>
      <c r="J56" s="188">
        <f t="shared" si="16"/>
        <v>0</v>
      </c>
      <c r="K56" s="188">
        <f t="shared" si="16"/>
        <v>0</v>
      </c>
      <c r="L56" s="188">
        <f t="shared" si="16"/>
        <v>0</v>
      </c>
      <c r="M56" s="188">
        <f t="shared" si="16"/>
        <v>0</v>
      </c>
      <c r="N56" s="188">
        <f t="shared" si="16"/>
        <v>0</v>
      </c>
      <c r="O56" s="188">
        <f t="shared" si="16"/>
        <v>0</v>
      </c>
      <c r="P56" s="188">
        <f t="shared" si="16"/>
        <v>0</v>
      </c>
      <c r="Q56" s="68">
        <v>0</v>
      </c>
      <c r="R56" s="41"/>
      <c r="S56" s="59">
        <f t="shared" si="17"/>
        <v>0</v>
      </c>
      <c r="T56" s="41"/>
    </row>
    <row r="57" spans="3:21" s="37" customFormat="1" ht="12" x14ac:dyDescent="0.2">
      <c r="C57" s="199">
        <v>6274</v>
      </c>
      <c r="D57" s="37" t="s">
        <v>210</v>
      </c>
      <c r="E57" s="188">
        <f t="shared" si="16"/>
        <v>131.24583333333331</v>
      </c>
      <c r="F57" s="188">
        <f t="shared" si="16"/>
        <v>131.24583333333331</v>
      </c>
      <c r="G57" s="188">
        <f t="shared" si="16"/>
        <v>131.24583333333331</v>
      </c>
      <c r="H57" s="188">
        <f t="shared" si="16"/>
        <v>131.24583333333331</v>
      </c>
      <c r="I57" s="188">
        <f t="shared" si="16"/>
        <v>131.24583333333331</v>
      </c>
      <c r="J57" s="188">
        <f t="shared" si="16"/>
        <v>131.24583333333331</v>
      </c>
      <c r="K57" s="188">
        <f t="shared" si="16"/>
        <v>131.24583333333331</v>
      </c>
      <c r="L57" s="188">
        <f t="shared" si="16"/>
        <v>131.24583333333331</v>
      </c>
      <c r="M57" s="188">
        <f t="shared" si="16"/>
        <v>131.24583333333331</v>
      </c>
      <c r="N57" s="188">
        <f t="shared" si="16"/>
        <v>131.24583333333331</v>
      </c>
      <c r="O57" s="188">
        <f t="shared" si="16"/>
        <v>131.24583333333331</v>
      </c>
      <c r="P57" s="188">
        <f t="shared" si="16"/>
        <v>131.24583333333331</v>
      </c>
      <c r="Q57" s="68">
        <v>0</v>
      </c>
      <c r="R57" s="41"/>
      <c r="S57" s="59">
        <f t="shared" si="17"/>
        <v>1574.95</v>
      </c>
      <c r="T57" s="41"/>
      <c r="U57" s="37">
        <v>1574.9499999999996</v>
      </c>
    </row>
    <row r="58" spans="3:21" s="37" customFormat="1" ht="12" x14ac:dyDescent="0.2">
      <c r="C58" s="199">
        <v>6277</v>
      </c>
      <c r="D58" s="37" t="s">
        <v>226</v>
      </c>
      <c r="E58" s="188">
        <f t="shared" si="16"/>
        <v>384.82056708333317</v>
      </c>
      <c r="F58" s="188">
        <f t="shared" si="16"/>
        <v>384.82056708333317</v>
      </c>
      <c r="G58" s="188">
        <f t="shared" si="16"/>
        <v>384.82056708333317</v>
      </c>
      <c r="H58" s="188">
        <f t="shared" si="16"/>
        <v>384.82056708333317</v>
      </c>
      <c r="I58" s="188">
        <f t="shared" si="16"/>
        <v>384.82056708333317</v>
      </c>
      <c r="J58" s="188">
        <f t="shared" si="16"/>
        <v>384.82056708333317</v>
      </c>
      <c r="K58" s="188">
        <f t="shared" si="16"/>
        <v>384.82056708333317</v>
      </c>
      <c r="L58" s="188">
        <f t="shared" si="16"/>
        <v>384.82056708333317</v>
      </c>
      <c r="M58" s="188">
        <f t="shared" si="16"/>
        <v>384.82056708333317</v>
      </c>
      <c r="N58" s="188">
        <f t="shared" si="16"/>
        <v>384.82056708333317</v>
      </c>
      <c r="O58" s="188">
        <f t="shared" si="16"/>
        <v>384.82056708333317</v>
      </c>
      <c r="P58" s="188">
        <f t="shared" si="16"/>
        <v>384.82056708333317</v>
      </c>
      <c r="Q58" s="68">
        <v>0</v>
      </c>
      <c r="R58" s="41"/>
      <c r="S58" s="59">
        <f t="shared" si="17"/>
        <v>4617.8468049999983</v>
      </c>
      <c r="T58" s="41"/>
      <c r="U58" s="37">
        <v>4617.8468049999983</v>
      </c>
    </row>
    <row r="59" spans="3:21" s="37" customFormat="1" ht="12" x14ac:dyDescent="0.2">
      <c r="C59" s="199">
        <v>6281</v>
      </c>
      <c r="D59" s="37" t="s">
        <v>193</v>
      </c>
      <c r="E59" s="188">
        <f t="shared" si="16"/>
        <v>0</v>
      </c>
      <c r="F59" s="188">
        <f t="shared" si="16"/>
        <v>0</v>
      </c>
      <c r="G59" s="188">
        <f t="shared" si="16"/>
        <v>0</v>
      </c>
      <c r="H59" s="188">
        <f t="shared" si="16"/>
        <v>0</v>
      </c>
      <c r="I59" s="188">
        <f t="shared" si="16"/>
        <v>0</v>
      </c>
      <c r="J59" s="188">
        <f t="shared" si="16"/>
        <v>0</v>
      </c>
      <c r="K59" s="188">
        <f t="shared" si="16"/>
        <v>0</v>
      </c>
      <c r="L59" s="188">
        <f t="shared" si="16"/>
        <v>0</v>
      </c>
      <c r="M59" s="188">
        <f t="shared" si="16"/>
        <v>0</v>
      </c>
      <c r="N59" s="188">
        <f t="shared" si="16"/>
        <v>0</v>
      </c>
      <c r="O59" s="188">
        <f t="shared" si="16"/>
        <v>0</v>
      </c>
      <c r="P59" s="188">
        <f t="shared" si="16"/>
        <v>0</v>
      </c>
      <c r="Q59" s="68">
        <v>0</v>
      </c>
      <c r="R59" s="41"/>
      <c r="S59" s="59">
        <f t="shared" si="17"/>
        <v>0</v>
      </c>
      <c r="T59" s="41"/>
    </row>
    <row r="60" spans="3:21" s="37" customFormat="1" ht="12" x14ac:dyDescent="0.2">
      <c r="C60" s="199">
        <v>6284</v>
      </c>
      <c r="D60" s="37" t="s">
        <v>194</v>
      </c>
      <c r="E60" s="188">
        <f t="shared" si="16"/>
        <v>820</v>
      </c>
      <c r="F60" s="188">
        <f t="shared" si="16"/>
        <v>820</v>
      </c>
      <c r="G60" s="188">
        <f t="shared" si="16"/>
        <v>820</v>
      </c>
      <c r="H60" s="188">
        <f t="shared" si="16"/>
        <v>820</v>
      </c>
      <c r="I60" s="188">
        <f t="shared" si="16"/>
        <v>820</v>
      </c>
      <c r="J60" s="188">
        <f t="shared" si="16"/>
        <v>820</v>
      </c>
      <c r="K60" s="188">
        <f t="shared" si="16"/>
        <v>820</v>
      </c>
      <c r="L60" s="188">
        <f t="shared" si="16"/>
        <v>820</v>
      </c>
      <c r="M60" s="188">
        <f t="shared" si="16"/>
        <v>820</v>
      </c>
      <c r="N60" s="188">
        <f t="shared" si="16"/>
        <v>820</v>
      </c>
      <c r="O60" s="188">
        <f t="shared" si="16"/>
        <v>820</v>
      </c>
      <c r="P60" s="188">
        <f t="shared" si="16"/>
        <v>820</v>
      </c>
      <c r="Q60" s="68">
        <v>0</v>
      </c>
      <c r="R60" s="41"/>
      <c r="S60" s="59">
        <f t="shared" si="17"/>
        <v>9840</v>
      </c>
      <c r="T60" s="41"/>
      <c r="U60" s="37">
        <v>9840</v>
      </c>
    </row>
    <row r="61" spans="3:21" s="37" customFormat="1" ht="12" x14ac:dyDescent="0.2">
      <c r="C61" s="199">
        <v>6287</v>
      </c>
      <c r="D61" s="37" t="s">
        <v>227</v>
      </c>
      <c r="E61" s="188">
        <f t="shared" si="16"/>
        <v>3645</v>
      </c>
      <c r="F61" s="188">
        <f t="shared" si="16"/>
        <v>3645</v>
      </c>
      <c r="G61" s="188">
        <f t="shared" si="16"/>
        <v>3645</v>
      </c>
      <c r="H61" s="188">
        <f t="shared" si="16"/>
        <v>3645</v>
      </c>
      <c r="I61" s="188">
        <f t="shared" si="16"/>
        <v>3645</v>
      </c>
      <c r="J61" s="188">
        <f t="shared" si="16"/>
        <v>3645</v>
      </c>
      <c r="K61" s="188">
        <f t="shared" si="16"/>
        <v>3645</v>
      </c>
      <c r="L61" s="188">
        <f t="shared" si="16"/>
        <v>3645</v>
      </c>
      <c r="M61" s="188">
        <f t="shared" si="16"/>
        <v>3645</v>
      </c>
      <c r="N61" s="188">
        <f t="shared" si="16"/>
        <v>3645</v>
      </c>
      <c r="O61" s="188">
        <f t="shared" si="16"/>
        <v>3645</v>
      </c>
      <c r="P61" s="188">
        <f t="shared" si="16"/>
        <v>3645</v>
      </c>
      <c r="Q61" s="68">
        <v>0</v>
      </c>
      <c r="R61" s="41"/>
      <c r="S61" s="59">
        <f t="shared" si="17"/>
        <v>43740</v>
      </c>
      <c r="T61" s="41"/>
      <c r="U61" s="37">
        <v>43740</v>
      </c>
    </row>
    <row r="62" spans="3:21" s="37" customFormat="1" ht="12" x14ac:dyDescent="0.2">
      <c r="C62" s="38"/>
      <c r="E62" s="73">
        <f t="shared" ref="E62:Q62" si="18">SUBTOTAL(9,E43:E61)</f>
        <v>25702.823141250006</v>
      </c>
      <c r="F62" s="73">
        <f t="shared" si="18"/>
        <v>25702.823141250006</v>
      </c>
      <c r="G62" s="73">
        <f t="shared" si="18"/>
        <v>25702.823141250006</v>
      </c>
      <c r="H62" s="73">
        <f t="shared" si="18"/>
        <v>25702.823141250006</v>
      </c>
      <c r="I62" s="73">
        <f t="shared" si="18"/>
        <v>25702.823141250006</v>
      </c>
      <c r="J62" s="73">
        <f t="shared" si="18"/>
        <v>25702.823141250006</v>
      </c>
      <c r="K62" s="73">
        <f t="shared" si="18"/>
        <v>25702.823141250006</v>
      </c>
      <c r="L62" s="73">
        <f t="shared" si="18"/>
        <v>25702.823141250006</v>
      </c>
      <c r="M62" s="73">
        <f t="shared" si="18"/>
        <v>25702.823141250006</v>
      </c>
      <c r="N62" s="73">
        <f t="shared" si="18"/>
        <v>25702.823141250006</v>
      </c>
      <c r="O62" s="73">
        <f t="shared" si="18"/>
        <v>25702.823141250006</v>
      </c>
      <c r="P62" s="73">
        <f t="shared" si="18"/>
        <v>25702.823141250006</v>
      </c>
      <c r="Q62" s="73">
        <f t="shared" si="18"/>
        <v>0</v>
      </c>
      <c r="R62" s="41"/>
      <c r="S62" s="61">
        <f>SUBTOTAL(9,S43:S61)</f>
        <v>308433.87769500003</v>
      </c>
      <c r="T62" s="41"/>
    </row>
    <row r="63" spans="3:21" s="37" customFormat="1" ht="12" x14ac:dyDescent="0.2">
      <c r="C63" s="49" t="s">
        <v>9</v>
      </c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41"/>
      <c r="S63" s="59"/>
      <c r="T63" s="41"/>
    </row>
    <row r="64" spans="3:21" s="37" customFormat="1" ht="12" x14ac:dyDescent="0.2">
      <c r="C64" s="199">
        <v>6300</v>
      </c>
      <c r="D64" s="37" t="s">
        <v>9</v>
      </c>
      <c r="E64" s="188">
        <f t="shared" ref="E64:P73" si="19">$U64/12</f>
        <v>4250</v>
      </c>
      <c r="F64" s="188">
        <f t="shared" si="19"/>
        <v>4250</v>
      </c>
      <c r="G64" s="188">
        <f t="shared" si="19"/>
        <v>4250</v>
      </c>
      <c r="H64" s="188">
        <f t="shared" si="19"/>
        <v>4250</v>
      </c>
      <c r="I64" s="188">
        <f t="shared" si="19"/>
        <v>4250</v>
      </c>
      <c r="J64" s="188">
        <f t="shared" si="19"/>
        <v>4250</v>
      </c>
      <c r="K64" s="188">
        <f t="shared" si="19"/>
        <v>4250</v>
      </c>
      <c r="L64" s="188">
        <f t="shared" si="19"/>
        <v>4250</v>
      </c>
      <c r="M64" s="188">
        <f t="shared" si="19"/>
        <v>4250</v>
      </c>
      <c r="N64" s="188">
        <f t="shared" si="19"/>
        <v>4250</v>
      </c>
      <c r="O64" s="188">
        <f t="shared" si="19"/>
        <v>4250</v>
      </c>
      <c r="P64" s="188">
        <f t="shared" si="19"/>
        <v>4250</v>
      </c>
      <c r="Q64" s="68">
        <v>0</v>
      </c>
      <c r="R64" s="41"/>
      <c r="S64" s="59">
        <f t="shared" ref="S64:S73" si="20">SUM(E64:Q64)</f>
        <v>51000</v>
      </c>
      <c r="T64" s="41"/>
      <c r="U64" s="37">
        <v>51000</v>
      </c>
    </row>
    <row r="65" spans="3:21" s="37" customFormat="1" ht="12" x14ac:dyDescent="0.2">
      <c r="C65" s="199">
        <v>6320</v>
      </c>
      <c r="D65" s="37" t="s">
        <v>10</v>
      </c>
      <c r="E65" s="188">
        <f t="shared" si="19"/>
        <v>4166.666666666667</v>
      </c>
      <c r="F65" s="188">
        <f t="shared" si="19"/>
        <v>4166.666666666667</v>
      </c>
      <c r="G65" s="188">
        <f t="shared" si="19"/>
        <v>4166.666666666667</v>
      </c>
      <c r="H65" s="188">
        <f t="shared" si="19"/>
        <v>4166.666666666667</v>
      </c>
      <c r="I65" s="188">
        <f t="shared" si="19"/>
        <v>4166.666666666667</v>
      </c>
      <c r="J65" s="188">
        <f t="shared" si="19"/>
        <v>4166.666666666667</v>
      </c>
      <c r="K65" s="188">
        <f t="shared" si="19"/>
        <v>4166.666666666667</v>
      </c>
      <c r="L65" s="188">
        <f t="shared" si="19"/>
        <v>4166.666666666667</v>
      </c>
      <c r="M65" s="188">
        <f t="shared" si="19"/>
        <v>4166.666666666667</v>
      </c>
      <c r="N65" s="188">
        <f t="shared" si="19"/>
        <v>4166.666666666667</v>
      </c>
      <c r="O65" s="188">
        <f t="shared" si="19"/>
        <v>4166.666666666667</v>
      </c>
      <c r="P65" s="188">
        <f t="shared" si="19"/>
        <v>4166.666666666667</v>
      </c>
      <c r="Q65" s="68">
        <v>0</v>
      </c>
      <c r="R65" s="41"/>
      <c r="S65" s="59">
        <f t="shared" si="20"/>
        <v>49999.999999999993</v>
      </c>
      <c r="T65" s="41"/>
      <c r="U65" s="37">
        <v>50000</v>
      </c>
    </row>
    <row r="66" spans="3:21" s="37" customFormat="1" ht="12" x14ac:dyDescent="0.2">
      <c r="C66" s="199">
        <v>6334</v>
      </c>
      <c r="D66" s="37" t="s">
        <v>11</v>
      </c>
      <c r="E66" s="188">
        <f t="shared" si="19"/>
        <v>0</v>
      </c>
      <c r="F66" s="188">
        <f t="shared" si="19"/>
        <v>0</v>
      </c>
      <c r="G66" s="188">
        <f t="shared" si="19"/>
        <v>0</v>
      </c>
      <c r="H66" s="188">
        <f t="shared" si="19"/>
        <v>0</v>
      </c>
      <c r="I66" s="188">
        <f t="shared" si="19"/>
        <v>0</v>
      </c>
      <c r="J66" s="188">
        <f t="shared" si="19"/>
        <v>0</v>
      </c>
      <c r="K66" s="188">
        <f t="shared" si="19"/>
        <v>0</v>
      </c>
      <c r="L66" s="188">
        <f t="shared" si="19"/>
        <v>0</v>
      </c>
      <c r="M66" s="188">
        <f t="shared" si="19"/>
        <v>0</v>
      </c>
      <c r="N66" s="188">
        <f t="shared" si="19"/>
        <v>0</v>
      </c>
      <c r="O66" s="188">
        <f t="shared" si="19"/>
        <v>0</v>
      </c>
      <c r="P66" s="188">
        <f t="shared" si="19"/>
        <v>0</v>
      </c>
      <c r="Q66" s="68">
        <v>0</v>
      </c>
      <c r="R66" s="41"/>
      <c r="S66" s="59">
        <f t="shared" si="20"/>
        <v>0</v>
      </c>
      <c r="T66" s="41"/>
    </row>
    <row r="67" spans="3:21" s="37" customFormat="1" ht="12" x14ac:dyDescent="0.2">
      <c r="C67" s="199">
        <v>6333</v>
      </c>
      <c r="D67" s="37" t="s">
        <v>12</v>
      </c>
      <c r="E67" s="188">
        <f t="shared" si="19"/>
        <v>516.66666666666663</v>
      </c>
      <c r="F67" s="188">
        <f t="shared" si="19"/>
        <v>516.66666666666663</v>
      </c>
      <c r="G67" s="188">
        <f t="shared" si="19"/>
        <v>516.66666666666663</v>
      </c>
      <c r="H67" s="188">
        <f t="shared" si="19"/>
        <v>516.66666666666663</v>
      </c>
      <c r="I67" s="188">
        <f t="shared" si="19"/>
        <v>516.66666666666663</v>
      </c>
      <c r="J67" s="188">
        <f t="shared" si="19"/>
        <v>516.66666666666663</v>
      </c>
      <c r="K67" s="188">
        <f t="shared" si="19"/>
        <v>516.66666666666663</v>
      </c>
      <c r="L67" s="188">
        <f t="shared" si="19"/>
        <v>516.66666666666663</v>
      </c>
      <c r="M67" s="188">
        <f t="shared" si="19"/>
        <v>516.66666666666663</v>
      </c>
      <c r="N67" s="188">
        <f t="shared" si="19"/>
        <v>516.66666666666663</v>
      </c>
      <c r="O67" s="188">
        <f t="shared" si="19"/>
        <v>516.66666666666663</v>
      </c>
      <c r="P67" s="188">
        <f t="shared" si="19"/>
        <v>516.66666666666663</v>
      </c>
      <c r="Q67" s="68">
        <v>0</v>
      </c>
      <c r="R67" s="41"/>
      <c r="S67" s="59">
        <f t="shared" si="20"/>
        <v>6200.0000000000009</v>
      </c>
      <c r="T67" s="41"/>
      <c r="U67" s="37">
        <v>6200</v>
      </c>
    </row>
    <row r="68" spans="3:21" s="37" customFormat="1" ht="12" x14ac:dyDescent="0.2">
      <c r="C68" s="199">
        <v>6336</v>
      </c>
      <c r="D68" s="37" t="s">
        <v>13</v>
      </c>
      <c r="E68" s="188">
        <f t="shared" si="19"/>
        <v>1083.3333333333333</v>
      </c>
      <c r="F68" s="188">
        <f t="shared" si="19"/>
        <v>1083.3333333333333</v>
      </c>
      <c r="G68" s="188">
        <f t="shared" si="19"/>
        <v>1083.3333333333333</v>
      </c>
      <c r="H68" s="188">
        <f t="shared" si="19"/>
        <v>1083.3333333333333</v>
      </c>
      <c r="I68" s="188">
        <f t="shared" si="19"/>
        <v>1083.3333333333333</v>
      </c>
      <c r="J68" s="188">
        <f t="shared" si="19"/>
        <v>1083.3333333333333</v>
      </c>
      <c r="K68" s="188">
        <f t="shared" si="19"/>
        <v>1083.3333333333333</v>
      </c>
      <c r="L68" s="188">
        <f t="shared" si="19"/>
        <v>1083.3333333333333</v>
      </c>
      <c r="M68" s="188">
        <f t="shared" si="19"/>
        <v>1083.3333333333333</v>
      </c>
      <c r="N68" s="188">
        <f t="shared" si="19"/>
        <v>1083.3333333333333</v>
      </c>
      <c r="O68" s="188">
        <f t="shared" si="19"/>
        <v>1083.3333333333333</v>
      </c>
      <c r="P68" s="188">
        <f t="shared" si="19"/>
        <v>1083.3333333333333</v>
      </c>
      <c r="Q68" s="68">
        <v>0</v>
      </c>
      <c r="R68" s="41"/>
      <c r="S68" s="59">
        <f t="shared" si="20"/>
        <v>13000.000000000002</v>
      </c>
      <c r="T68" s="41"/>
      <c r="U68" s="37">
        <v>13000</v>
      </c>
    </row>
    <row r="69" spans="3:21" s="37" customFormat="1" ht="12" x14ac:dyDescent="0.2">
      <c r="C69" s="199">
        <v>6337</v>
      </c>
      <c r="D69" s="37" t="s">
        <v>14</v>
      </c>
      <c r="E69" s="188">
        <f t="shared" si="19"/>
        <v>275</v>
      </c>
      <c r="F69" s="188">
        <f t="shared" si="19"/>
        <v>275</v>
      </c>
      <c r="G69" s="188">
        <f t="shared" si="19"/>
        <v>275</v>
      </c>
      <c r="H69" s="188">
        <f t="shared" si="19"/>
        <v>275</v>
      </c>
      <c r="I69" s="188">
        <f t="shared" si="19"/>
        <v>275</v>
      </c>
      <c r="J69" s="188">
        <f t="shared" si="19"/>
        <v>275</v>
      </c>
      <c r="K69" s="188">
        <f t="shared" si="19"/>
        <v>275</v>
      </c>
      <c r="L69" s="188">
        <f t="shared" si="19"/>
        <v>275</v>
      </c>
      <c r="M69" s="188">
        <f t="shared" si="19"/>
        <v>275</v>
      </c>
      <c r="N69" s="188">
        <f t="shared" si="19"/>
        <v>275</v>
      </c>
      <c r="O69" s="188">
        <f t="shared" si="19"/>
        <v>275</v>
      </c>
      <c r="P69" s="188">
        <f t="shared" si="19"/>
        <v>275</v>
      </c>
      <c r="Q69" s="68">
        <v>0</v>
      </c>
      <c r="R69" s="41"/>
      <c r="S69" s="59">
        <f t="shared" si="20"/>
        <v>3300</v>
      </c>
      <c r="T69" s="41"/>
      <c r="U69" s="37">
        <v>3300</v>
      </c>
    </row>
    <row r="70" spans="3:21" s="37" customFormat="1" ht="12" x14ac:dyDescent="0.2">
      <c r="C70" s="199">
        <v>6340</v>
      </c>
      <c r="D70" s="37" t="s">
        <v>15</v>
      </c>
      <c r="E70" s="188">
        <f t="shared" si="19"/>
        <v>4843.375</v>
      </c>
      <c r="F70" s="188">
        <f t="shared" si="19"/>
        <v>4843.375</v>
      </c>
      <c r="G70" s="188">
        <f t="shared" si="19"/>
        <v>4843.375</v>
      </c>
      <c r="H70" s="188">
        <f t="shared" si="19"/>
        <v>4843.375</v>
      </c>
      <c r="I70" s="188">
        <f t="shared" si="19"/>
        <v>4843.375</v>
      </c>
      <c r="J70" s="188">
        <f t="shared" si="19"/>
        <v>4843.375</v>
      </c>
      <c r="K70" s="188">
        <f t="shared" si="19"/>
        <v>4843.375</v>
      </c>
      <c r="L70" s="188">
        <f t="shared" si="19"/>
        <v>4843.375</v>
      </c>
      <c r="M70" s="188">
        <f t="shared" si="19"/>
        <v>4843.375</v>
      </c>
      <c r="N70" s="188">
        <f t="shared" si="19"/>
        <v>4843.375</v>
      </c>
      <c r="O70" s="188">
        <f t="shared" si="19"/>
        <v>4843.375</v>
      </c>
      <c r="P70" s="188">
        <f t="shared" si="19"/>
        <v>4843.375</v>
      </c>
      <c r="Q70" s="68">
        <v>0</v>
      </c>
      <c r="R70" s="41"/>
      <c r="S70" s="59">
        <f t="shared" si="20"/>
        <v>58120.5</v>
      </c>
      <c r="T70" s="41"/>
      <c r="U70" s="37">
        <v>58120.5</v>
      </c>
    </row>
    <row r="71" spans="3:21" s="37" customFormat="1" ht="12" x14ac:dyDescent="0.2">
      <c r="C71" s="199">
        <v>6345</v>
      </c>
      <c r="D71" s="37" t="s">
        <v>16</v>
      </c>
      <c r="E71" s="188">
        <f t="shared" si="19"/>
        <v>640.66666666666663</v>
      </c>
      <c r="F71" s="188">
        <f t="shared" si="19"/>
        <v>640.66666666666663</v>
      </c>
      <c r="G71" s="188">
        <f t="shared" si="19"/>
        <v>640.66666666666663</v>
      </c>
      <c r="H71" s="188">
        <f t="shared" si="19"/>
        <v>640.66666666666663</v>
      </c>
      <c r="I71" s="188">
        <f t="shared" si="19"/>
        <v>640.66666666666663</v>
      </c>
      <c r="J71" s="188">
        <f t="shared" si="19"/>
        <v>640.66666666666663</v>
      </c>
      <c r="K71" s="188">
        <f t="shared" si="19"/>
        <v>640.66666666666663</v>
      </c>
      <c r="L71" s="188">
        <f t="shared" si="19"/>
        <v>640.66666666666663</v>
      </c>
      <c r="M71" s="188">
        <f t="shared" si="19"/>
        <v>640.66666666666663</v>
      </c>
      <c r="N71" s="188">
        <f t="shared" si="19"/>
        <v>640.66666666666663</v>
      </c>
      <c r="O71" s="188">
        <f t="shared" si="19"/>
        <v>640.66666666666663</v>
      </c>
      <c r="P71" s="188">
        <f t="shared" si="19"/>
        <v>640.66666666666663</v>
      </c>
      <c r="Q71" s="68">
        <v>0</v>
      </c>
      <c r="R71" s="41"/>
      <c r="S71" s="59">
        <f t="shared" si="20"/>
        <v>7688.0000000000009</v>
      </c>
      <c r="T71" s="41"/>
      <c r="U71" s="37">
        <v>7688</v>
      </c>
    </row>
    <row r="72" spans="3:21" s="37" customFormat="1" ht="12" x14ac:dyDescent="0.2">
      <c r="C72" s="199">
        <v>6350</v>
      </c>
      <c r="D72" s="37" t="s">
        <v>17</v>
      </c>
      <c r="E72" s="188">
        <f t="shared" si="19"/>
        <v>0</v>
      </c>
      <c r="F72" s="188">
        <f t="shared" si="19"/>
        <v>0</v>
      </c>
      <c r="G72" s="188">
        <f t="shared" si="19"/>
        <v>0</v>
      </c>
      <c r="H72" s="188">
        <f t="shared" si="19"/>
        <v>0</v>
      </c>
      <c r="I72" s="188">
        <f t="shared" si="19"/>
        <v>0</v>
      </c>
      <c r="J72" s="188">
        <f t="shared" si="19"/>
        <v>0</v>
      </c>
      <c r="K72" s="188">
        <f t="shared" si="19"/>
        <v>0</v>
      </c>
      <c r="L72" s="188">
        <f t="shared" si="19"/>
        <v>0</v>
      </c>
      <c r="M72" s="188">
        <f t="shared" si="19"/>
        <v>0</v>
      </c>
      <c r="N72" s="188">
        <f t="shared" si="19"/>
        <v>0</v>
      </c>
      <c r="O72" s="188">
        <f t="shared" si="19"/>
        <v>0</v>
      </c>
      <c r="P72" s="188">
        <f t="shared" si="19"/>
        <v>0</v>
      </c>
      <c r="Q72" s="68">
        <v>0</v>
      </c>
      <c r="R72" s="41"/>
      <c r="S72" s="59">
        <f t="shared" si="20"/>
        <v>0</v>
      </c>
      <c r="T72" s="41"/>
      <c r="U72" s="37">
        <v>0</v>
      </c>
    </row>
    <row r="73" spans="3:21" s="37" customFormat="1" ht="12" x14ac:dyDescent="0.2">
      <c r="C73" s="199">
        <v>6351</v>
      </c>
      <c r="D73" s="37" t="s">
        <v>18</v>
      </c>
      <c r="E73" s="188">
        <f t="shared" si="19"/>
        <v>3166.875</v>
      </c>
      <c r="F73" s="188">
        <f t="shared" si="19"/>
        <v>3166.875</v>
      </c>
      <c r="G73" s="188">
        <f t="shared" si="19"/>
        <v>3166.875</v>
      </c>
      <c r="H73" s="188">
        <f t="shared" si="19"/>
        <v>3166.875</v>
      </c>
      <c r="I73" s="188">
        <f t="shared" si="19"/>
        <v>3166.875</v>
      </c>
      <c r="J73" s="188">
        <f t="shared" si="19"/>
        <v>3166.875</v>
      </c>
      <c r="K73" s="188">
        <f t="shared" si="19"/>
        <v>3166.875</v>
      </c>
      <c r="L73" s="188">
        <f t="shared" si="19"/>
        <v>3166.875</v>
      </c>
      <c r="M73" s="188">
        <f t="shared" si="19"/>
        <v>3166.875</v>
      </c>
      <c r="N73" s="188">
        <f t="shared" si="19"/>
        <v>3166.875</v>
      </c>
      <c r="O73" s="188">
        <f t="shared" si="19"/>
        <v>3166.875</v>
      </c>
      <c r="P73" s="188">
        <f t="shared" si="19"/>
        <v>3166.875</v>
      </c>
      <c r="Q73" s="68">
        <v>0</v>
      </c>
      <c r="R73" s="41"/>
      <c r="S73" s="59">
        <f t="shared" si="20"/>
        <v>38002.5</v>
      </c>
      <c r="T73" s="41"/>
      <c r="U73" s="37">
        <v>38002.5</v>
      </c>
    </row>
    <row r="74" spans="3:21" s="37" customFormat="1" ht="12" x14ac:dyDescent="0.2">
      <c r="C74" s="38"/>
      <c r="E74" s="73">
        <f>SUBTOTAL(9,E64:E73)</f>
        <v>18942.583333333336</v>
      </c>
      <c r="F74" s="73">
        <f t="shared" ref="F74:S74" si="21">SUBTOTAL(9,F64:F73)</f>
        <v>18942.583333333336</v>
      </c>
      <c r="G74" s="73">
        <f t="shared" si="21"/>
        <v>18942.583333333336</v>
      </c>
      <c r="H74" s="73">
        <f t="shared" si="21"/>
        <v>18942.583333333336</v>
      </c>
      <c r="I74" s="73">
        <f t="shared" si="21"/>
        <v>18942.583333333336</v>
      </c>
      <c r="J74" s="73">
        <f t="shared" si="21"/>
        <v>18942.583333333336</v>
      </c>
      <c r="K74" s="73">
        <f t="shared" si="21"/>
        <v>18942.583333333336</v>
      </c>
      <c r="L74" s="73">
        <f t="shared" si="21"/>
        <v>18942.583333333336</v>
      </c>
      <c r="M74" s="73">
        <f t="shared" si="21"/>
        <v>18942.583333333336</v>
      </c>
      <c r="N74" s="73">
        <f t="shared" si="21"/>
        <v>18942.583333333336</v>
      </c>
      <c r="O74" s="73">
        <f t="shared" si="21"/>
        <v>18942.583333333336</v>
      </c>
      <c r="P74" s="73">
        <f t="shared" si="21"/>
        <v>18942.583333333336</v>
      </c>
      <c r="Q74" s="73">
        <f t="shared" si="21"/>
        <v>0</v>
      </c>
      <c r="R74" s="41"/>
      <c r="S74" s="61">
        <f t="shared" si="21"/>
        <v>227311</v>
      </c>
      <c r="T74" s="41"/>
    </row>
    <row r="75" spans="3:21" s="37" customFormat="1" ht="12" x14ac:dyDescent="0.2">
      <c r="C75" s="49" t="s">
        <v>100</v>
      </c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41"/>
      <c r="S75" s="59"/>
      <c r="T75" s="41"/>
    </row>
    <row r="76" spans="3:21" s="37" customFormat="1" ht="12" x14ac:dyDescent="0.2">
      <c r="C76" s="199">
        <v>6410</v>
      </c>
      <c r="D76" s="37" t="s">
        <v>19</v>
      </c>
      <c r="E76" s="188">
        <f t="shared" ref="E76:P79" si="22">$U76/12</f>
        <v>0</v>
      </c>
      <c r="F76" s="188">
        <f t="shared" si="22"/>
        <v>0</v>
      </c>
      <c r="G76" s="188">
        <f t="shared" si="22"/>
        <v>0</v>
      </c>
      <c r="H76" s="188">
        <f t="shared" si="22"/>
        <v>0</v>
      </c>
      <c r="I76" s="188">
        <f t="shared" si="22"/>
        <v>0</v>
      </c>
      <c r="J76" s="188">
        <f t="shared" si="22"/>
        <v>0</v>
      </c>
      <c r="K76" s="188">
        <f t="shared" si="22"/>
        <v>0</v>
      </c>
      <c r="L76" s="188">
        <f t="shared" si="22"/>
        <v>0</v>
      </c>
      <c r="M76" s="188">
        <f t="shared" si="22"/>
        <v>0</v>
      </c>
      <c r="N76" s="188">
        <f t="shared" si="22"/>
        <v>0</v>
      </c>
      <c r="O76" s="188">
        <f t="shared" si="22"/>
        <v>0</v>
      </c>
      <c r="P76" s="188">
        <f t="shared" si="22"/>
        <v>0</v>
      </c>
      <c r="Q76" s="68">
        <v>0</v>
      </c>
      <c r="R76" s="41"/>
      <c r="S76" s="59">
        <f t="shared" ref="S76:S79" si="23">SUM(E76:Q76)</f>
        <v>0</v>
      </c>
      <c r="T76" s="41"/>
    </row>
    <row r="77" spans="3:21" s="37" customFormat="1" ht="12" x14ac:dyDescent="0.2">
      <c r="C77" s="199">
        <v>6420</v>
      </c>
      <c r="D77" s="37" t="s">
        <v>20</v>
      </c>
      <c r="E77" s="188">
        <f t="shared" si="22"/>
        <v>0</v>
      </c>
      <c r="F77" s="188">
        <f t="shared" si="22"/>
        <v>0</v>
      </c>
      <c r="G77" s="188">
        <f t="shared" si="22"/>
        <v>0</v>
      </c>
      <c r="H77" s="188">
        <f t="shared" si="22"/>
        <v>0</v>
      </c>
      <c r="I77" s="188">
        <f t="shared" si="22"/>
        <v>0</v>
      </c>
      <c r="J77" s="188">
        <f t="shared" si="22"/>
        <v>0</v>
      </c>
      <c r="K77" s="188">
        <f t="shared" si="22"/>
        <v>0</v>
      </c>
      <c r="L77" s="188">
        <f t="shared" si="22"/>
        <v>0</v>
      </c>
      <c r="M77" s="188">
        <f t="shared" si="22"/>
        <v>0</v>
      </c>
      <c r="N77" s="188">
        <f t="shared" si="22"/>
        <v>0</v>
      </c>
      <c r="O77" s="188">
        <f t="shared" si="22"/>
        <v>0</v>
      </c>
      <c r="P77" s="188">
        <f t="shared" si="22"/>
        <v>0</v>
      </c>
      <c r="Q77" s="68">
        <v>0</v>
      </c>
      <c r="R77" s="41"/>
      <c r="S77" s="59">
        <f t="shared" si="23"/>
        <v>0</v>
      </c>
      <c r="T77" s="41"/>
    </row>
    <row r="78" spans="3:21" s="37" customFormat="1" ht="12" x14ac:dyDescent="0.2">
      <c r="C78" s="199">
        <v>6430</v>
      </c>
      <c r="D78" s="37" t="s">
        <v>21</v>
      </c>
      <c r="E78" s="188">
        <f t="shared" si="22"/>
        <v>0</v>
      </c>
      <c r="F78" s="188">
        <f t="shared" si="22"/>
        <v>0</v>
      </c>
      <c r="G78" s="188">
        <f t="shared" si="22"/>
        <v>0</v>
      </c>
      <c r="H78" s="188">
        <f t="shared" si="22"/>
        <v>0</v>
      </c>
      <c r="I78" s="188">
        <f t="shared" si="22"/>
        <v>0</v>
      </c>
      <c r="J78" s="188">
        <f t="shared" si="22"/>
        <v>0</v>
      </c>
      <c r="K78" s="188">
        <f t="shared" si="22"/>
        <v>0</v>
      </c>
      <c r="L78" s="188">
        <f t="shared" si="22"/>
        <v>0</v>
      </c>
      <c r="M78" s="188">
        <f t="shared" si="22"/>
        <v>0</v>
      </c>
      <c r="N78" s="188">
        <f t="shared" si="22"/>
        <v>0</v>
      </c>
      <c r="O78" s="188">
        <f t="shared" si="22"/>
        <v>0</v>
      </c>
      <c r="P78" s="188">
        <f t="shared" si="22"/>
        <v>0</v>
      </c>
      <c r="Q78" s="68">
        <v>0</v>
      </c>
      <c r="R78" s="41"/>
      <c r="S78" s="59">
        <f t="shared" si="23"/>
        <v>0</v>
      </c>
      <c r="T78" s="41"/>
    </row>
    <row r="79" spans="3:21" s="37" customFormat="1" ht="12" x14ac:dyDescent="0.2">
      <c r="C79" s="199">
        <v>6441</v>
      </c>
      <c r="D79" s="37" t="s">
        <v>22</v>
      </c>
      <c r="E79" s="188">
        <f t="shared" si="22"/>
        <v>10348.166666666666</v>
      </c>
      <c r="F79" s="188">
        <f t="shared" si="22"/>
        <v>10348.166666666666</v>
      </c>
      <c r="G79" s="188">
        <f t="shared" si="22"/>
        <v>10348.166666666666</v>
      </c>
      <c r="H79" s="188">
        <f t="shared" si="22"/>
        <v>10348.166666666666</v>
      </c>
      <c r="I79" s="188">
        <f t="shared" si="22"/>
        <v>10348.166666666666</v>
      </c>
      <c r="J79" s="188">
        <f t="shared" si="22"/>
        <v>10348.166666666666</v>
      </c>
      <c r="K79" s="188">
        <f t="shared" si="22"/>
        <v>10348.166666666666</v>
      </c>
      <c r="L79" s="188">
        <f t="shared" si="22"/>
        <v>10348.166666666666</v>
      </c>
      <c r="M79" s="188">
        <f t="shared" si="22"/>
        <v>10348.166666666666</v>
      </c>
      <c r="N79" s="188">
        <f t="shared" si="22"/>
        <v>10348.166666666666</v>
      </c>
      <c r="O79" s="188">
        <f t="shared" si="22"/>
        <v>10348.166666666666</v>
      </c>
      <c r="P79" s="188">
        <f t="shared" si="22"/>
        <v>10348.166666666666</v>
      </c>
      <c r="Q79" s="68">
        <v>0</v>
      </c>
      <c r="R79" s="41"/>
      <c r="S79" s="59">
        <f t="shared" si="23"/>
        <v>124178.00000000001</v>
      </c>
      <c r="T79" s="41"/>
      <c r="U79" s="37">
        <v>124178</v>
      </c>
    </row>
    <row r="80" spans="3:21" s="37" customFormat="1" ht="12" x14ac:dyDescent="0.2">
      <c r="C80" s="38"/>
      <c r="E80" s="73">
        <f>SUBTOTAL(9,E76:E79)</f>
        <v>10348.166666666666</v>
      </c>
      <c r="F80" s="73">
        <f t="shared" ref="F80:S80" si="24">SUBTOTAL(9,F76:F79)</f>
        <v>10348.166666666666</v>
      </c>
      <c r="G80" s="73">
        <f t="shared" si="24"/>
        <v>10348.166666666666</v>
      </c>
      <c r="H80" s="73">
        <f t="shared" si="24"/>
        <v>10348.166666666666</v>
      </c>
      <c r="I80" s="73">
        <f t="shared" si="24"/>
        <v>10348.166666666666</v>
      </c>
      <c r="J80" s="73">
        <f t="shared" si="24"/>
        <v>10348.166666666666</v>
      </c>
      <c r="K80" s="73">
        <f t="shared" si="24"/>
        <v>10348.166666666666</v>
      </c>
      <c r="L80" s="73">
        <f t="shared" si="24"/>
        <v>10348.166666666666</v>
      </c>
      <c r="M80" s="73">
        <f t="shared" si="24"/>
        <v>10348.166666666666</v>
      </c>
      <c r="N80" s="73">
        <f t="shared" si="24"/>
        <v>10348.166666666666</v>
      </c>
      <c r="O80" s="73">
        <f t="shared" si="24"/>
        <v>10348.166666666666</v>
      </c>
      <c r="P80" s="73">
        <f t="shared" si="24"/>
        <v>10348.166666666666</v>
      </c>
      <c r="Q80" s="73">
        <f t="shared" si="24"/>
        <v>0</v>
      </c>
      <c r="R80" s="41"/>
      <c r="S80" s="61">
        <f t="shared" si="24"/>
        <v>124178.00000000001</v>
      </c>
      <c r="T80" s="41"/>
    </row>
    <row r="81" spans="3:21" s="37" customFormat="1" ht="12" x14ac:dyDescent="0.2">
      <c r="C81" s="49" t="s">
        <v>101</v>
      </c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41"/>
      <c r="S81" s="59"/>
      <c r="T81" s="41"/>
    </row>
    <row r="82" spans="3:21" s="37" customFormat="1" ht="12" x14ac:dyDescent="0.2">
      <c r="C82" s="199">
        <v>6519</v>
      </c>
      <c r="D82" s="37" t="s">
        <v>234</v>
      </c>
      <c r="E82" s="188">
        <f t="shared" ref="E82:P93" si="25">$U82/12</f>
        <v>0</v>
      </c>
      <c r="F82" s="188">
        <f t="shared" si="25"/>
        <v>0</v>
      </c>
      <c r="G82" s="188">
        <f t="shared" si="25"/>
        <v>0</v>
      </c>
      <c r="H82" s="188">
        <f t="shared" si="25"/>
        <v>0</v>
      </c>
      <c r="I82" s="188">
        <f t="shared" si="25"/>
        <v>0</v>
      </c>
      <c r="J82" s="188">
        <f t="shared" si="25"/>
        <v>0</v>
      </c>
      <c r="K82" s="188">
        <f t="shared" si="25"/>
        <v>0</v>
      </c>
      <c r="L82" s="188">
        <f t="shared" si="25"/>
        <v>0</v>
      </c>
      <c r="M82" s="188">
        <f t="shared" si="25"/>
        <v>0</v>
      </c>
      <c r="N82" s="188">
        <f t="shared" si="25"/>
        <v>0</v>
      </c>
      <c r="O82" s="188">
        <f t="shared" si="25"/>
        <v>0</v>
      </c>
      <c r="P82" s="188">
        <f t="shared" si="25"/>
        <v>0</v>
      </c>
      <c r="Q82" s="68">
        <v>0</v>
      </c>
      <c r="R82" s="41"/>
      <c r="S82" s="59">
        <f t="shared" ref="S82:S93" si="26">SUM(E82:Q82)</f>
        <v>0</v>
      </c>
      <c r="T82" s="41"/>
      <c r="U82" s="37">
        <v>0</v>
      </c>
    </row>
    <row r="83" spans="3:21" s="37" customFormat="1" ht="12" x14ac:dyDescent="0.2">
      <c r="C83" s="199">
        <v>6521</v>
      </c>
      <c r="D83" s="37" t="s">
        <v>24</v>
      </c>
      <c r="E83" s="188">
        <f t="shared" si="25"/>
        <v>131.25</v>
      </c>
      <c r="F83" s="188">
        <f t="shared" si="25"/>
        <v>131.25</v>
      </c>
      <c r="G83" s="188">
        <f t="shared" si="25"/>
        <v>131.25</v>
      </c>
      <c r="H83" s="188">
        <f t="shared" si="25"/>
        <v>131.25</v>
      </c>
      <c r="I83" s="188">
        <f t="shared" si="25"/>
        <v>131.25</v>
      </c>
      <c r="J83" s="188">
        <f t="shared" si="25"/>
        <v>131.25</v>
      </c>
      <c r="K83" s="188">
        <f t="shared" si="25"/>
        <v>131.25</v>
      </c>
      <c r="L83" s="188">
        <f t="shared" si="25"/>
        <v>131.25</v>
      </c>
      <c r="M83" s="188">
        <f t="shared" si="25"/>
        <v>131.25</v>
      </c>
      <c r="N83" s="188">
        <f t="shared" si="25"/>
        <v>131.25</v>
      </c>
      <c r="O83" s="188">
        <f t="shared" si="25"/>
        <v>131.25</v>
      </c>
      <c r="P83" s="188">
        <f t="shared" si="25"/>
        <v>131.25</v>
      </c>
      <c r="Q83" s="68">
        <v>0</v>
      </c>
      <c r="R83" s="41"/>
      <c r="S83" s="59">
        <f t="shared" si="26"/>
        <v>1575</v>
      </c>
      <c r="T83" s="41"/>
      <c r="U83" s="37">
        <v>1575</v>
      </c>
    </row>
    <row r="84" spans="3:21" s="37" customFormat="1" ht="12" x14ac:dyDescent="0.2">
      <c r="C84" s="199">
        <v>6522</v>
      </c>
      <c r="D84" s="37" t="s">
        <v>25</v>
      </c>
      <c r="E84" s="188">
        <f t="shared" si="25"/>
        <v>1316.25</v>
      </c>
      <c r="F84" s="188">
        <f t="shared" si="25"/>
        <v>1316.25</v>
      </c>
      <c r="G84" s="188">
        <f t="shared" si="25"/>
        <v>1316.25</v>
      </c>
      <c r="H84" s="188">
        <f t="shared" si="25"/>
        <v>1316.25</v>
      </c>
      <c r="I84" s="188">
        <f t="shared" si="25"/>
        <v>1316.25</v>
      </c>
      <c r="J84" s="188">
        <f t="shared" si="25"/>
        <v>1316.25</v>
      </c>
      <c r="K84" s="188">
        <f t="shared" si="25"/>
        <v>1316.25</v>
      </c>
      <c r="L84" s="188">
        <f t="shared" si="25"/>
        <v>1316.25</v>
      </c>
      <c r="M84" s="188">
        <f t="shared" si="25"/>
        <v>1316.25</v>
      </c>
      <c r="N84" s="188">
        <f t="shared" si="25"/>
        <v>1316.25</v>
      </c>
      <c r="O84" s="188">
        <f t="shared" si="25"/>
        <v>1316.25</v>
      </c>
      <c r="P84" s="188">
        <f t="shared" si="25"/>
        <v>1316.25</v>
      </c>
      <c r="Q84" s="68">
        <v>0</v>
      </c>
      <c r="R84" s="41"/>
      <c r="S84" s="59">
        <f t="shared" si="26"/>
        <v>15795</v>
      </c>
      <c r="T84" s="41"/>
      <c r="U84" s="37">
        <v>15795</v>
      </c>
    </row>
    <row r="85" spans="3:21" s="37" customFormat="1" ht="12" x14ac:dyDescent="0.2">
      <c r="C85" s="199">
        <v>6523</v>
      </c>
      <c r="D85" s="37" t="s">
        <v>26</v>
      </c>
      <c r="E85" s="188">
        <f t="shared" si="25"/>
        <v>937.5</v>
      </c>
      <c r="F85" s="188">
        <f t="shared" si="25"/>
        <v>937.5</v>
      </c>
      <c r="G85" s="188">
        <f t="shared" si="25"/>
        <v>937.5</v>
      </c>
      <c r="H85" s="188">
        <f t="shared" si="25"/>
        <v>937.5</v>
      </c>
      <c r="I85" s="188">
        <f t="shared" si="25"/>
        <v>937.5</v>
      </c>
      <c r="J85" s="188">
        <f t="shared" si="25"/>
        <v>937.5</v>
      </c>
      <c r="K85" s="188">
        <f t="shared" si="25"/>
        <v>937.5</v>
      </c>
      <c r="L85" s="188">
        <f t="shared" si="25"/>
        <v>937.5</v>
      </c>
      <c r="M85" s="188">
        <f t="shared" si="25"/>
        <v>937.5</v>
      </c>
      <c r="N85" s="188">
        <f t="shared" si="25"/>
        <v>937.5</v>
      </c>
      <c r="O85" s="188">
        <f t="shared" si="25"/>
        <v>937.5</v>
      </c>
      <c r="P85" s="188">
        <f t="shared" si="25"/>
        <v>937.5</v>
      </c>
      <c r="Q85" s="68">
        <v>0</v>
      </c>
      <c r="R85" s="41"/>
      <c r="S85" s="59">
        <f t="shared" si="26"/>
        <v>11250</v>
      </c>
      <c r="T85" s="41"/>
      <c r="U85" s="37">
        <v>11250</v>
      </c>
    </row>
    <row r="86" spans="3:21" s="37" customFormat="1" ht="12" x14ac:dyDescent="0.2">
      <c r="C86" s="199">
        <v>6531</v>
      </c>
      <c r="D86" s="37" t="s">
        <v>27</v>
      </c>
      <c r="E86" s="188">
        <f t="shared" si="25"/>
        <v>111</v>
      </c>
      <c r="F86" s="188">
        <f t="shared" si="25"/>
        <v>111</v>
      </c>
      <c r="G86" s="188">
        <f t="shared" si="25"/>
        <v>111</v>
      </c>
      <c r="H86" s="188">
        <f t="shared" si="25"/>
        <v>111</v>
      </c>
      <c r="I86" s="188">
        <f t="shared" si="25"/>
        <v>111</v>
      </c>
      <c r="J86" s="188">
        <f t="shared" si="25"/>
        <v>111</v>
      </c>
      <c r="K86" s="188">
        <f t="shared" si="25"/>
        <v>111</v>
      </c>
      <c r="L86" s="188">
        <f t="shared" si="25"/>
        <v>111</v>
      </c>
      <c r="M86" s="188">
        <f t="shared" si="25"/>
        <v>111</v>
      </c>
      <c r="N86" s="188">
        <f t="shared" si="25"/>
        <v>111</v>
      </c>
      <c r="O86" s="188">
        <f t="shared" si="25"/>
        <v>111</v>
      </c>
      <c r="P86" s="188">
        <f t="shared" si="25"/>
        <v>111</v>
      </c>
      <c r="Q86" s="68">
        <v>0</v>
      </c>
      <c r="R86" s="41"/>
      <c r="S86" s="59">
        <f t="shared" si="26"/>
        <v>1332</v>
      </c>
      <c r="T86" s="41"/>
      <c r="U86" s="37">
        <v>1332</v>
      </c>
    </row>
    <row r="87" spans="3:21" s="37" customFormat="1" ht="12" x14ac:dyDescent="0.2">
      <c r="C87" s="199">
        <v>6534</v>
      </c>
      <c r="D87" s="37" t="s">
        <v>28</v>
      </c>
      <c r="E87" s="188">
        <f t="shared" si="25"/>
        <v>395</v>
      </c>
      <c r="F87" s="188">
        <f t="shared" si="25"/>
        <v>395</v>
      </c>
      <c r="G87" s="188">
        <f t="shared" si="25"/>
        <v>395</v>
      </c>
      <c r="H87" s="188">
        <f t="shared" si="25"/>
        <v>395</v>
      </c>
      <c r="I87" s="188">
        <f t="shared" si="25"/>
        <v>395</v>
      </c>
      <c r="J87" s="188">
        <f t="shared" si="25"/>
        <v>395</v>
      </c>
      <c r="K87" s="188">
        <f t="shared" si="25"/>
        <v>395</v>
      </c>
      <c r="L87" s="188">
        <f t="shared" si="25"/>
        <v>395</v>
      </c>
      <c r="M87" s="188">
        <f t="shared" si="25"/>
        <v>395</v>
      </c>
      <c r="N87" s="188">
        <f t="shared" si="25"/>
        <v>395</v>
      </c>
      <c r="O87" s="188">
        <f t="shared" si="25"/>
        <v>395</v>
      </c>
      <c r="P87" s="188">
        <f t="shared" si="25"/>
        <v>395</v>
      </c>
      <c r="Q87" s="68">
        <v>0</v>
      </c>
      <c r="R87" s="41"/>
      <c r="S87" s="59">
        <f t="shared" si="26"/>
        <v>4740</v>
      </c>
      <c r="T87" s="41"/>
      <c r="U87" s="37">
        <v>4740</v>
      </c>
    </row>
    <row r="88" spans="3:21" s="37" customFormat="1" ht="12" x14ac:dyDescent="0.2">
      <c r="C88" s="199">
        <v>6535</v>
      </c>
      <c r="D88" s="37" t="s">
        <v>235</v>
      </c>
      <c r="E88" s="188">
        <f t="shared" si="25"/>
        <v>4145</v>
      </c>
      <c r="F88" s="188">
        <f t="shared" si="25"/>
        <v>4145</v>
      </c>
      <c r="G88" s="188">
        <f t="shared" si="25"/>
        <v>4145</v>
      </c>
      <c r="H88" s="188">
        <f t="shared" si="25"/>
        <v>4145</v>
      </c>
      <c r="I88" s="188">
        <f t="shared" si="25"/>
        <v>4145</v>
      </c>
      <c r="J88" s="188">
        <f t="shared" si="25"/>
        <v>4145</v>
      </c>
      <c r="K88" s="188">
        <f t="shared" si="25"/>
        <v>4145</v>
      </c>
      <c r="L88" s="188">
        <f t="shared" si="25"/>
        <v>4145</v>
      </c>
      <c r="M88" s="188">
        <f t="shared" si="25"/>
        <v>4145</v>
      </c>
      <c r="N88" s="188">
        <f t="shared" si="25"/>
        <v>4145</v>
      </c>
      <c r="O88" s="188">
        <f t="shared" si="25"/>
        <v>4145</v>
      </c>
      <c r="P88" s="188">
        <f t="shared" si="25"/>
        <v>4145</v>
      </c>
      <c r="Q88" s="68">
        <v>0</v>
      </c>
      <c r="R88" s="41"/>
      <c r="S88" s="59">
        <f t="shared" si="26"/>
        <v>49740</v>
      </c>
      <c r="T88" s="41"/>
      <c r="U88" s="37">
        <v>49740</v>
      </c>
    </row>
    <row r="89" spans="3:21" s="37" customFormat="1" ht="12" x14ac:dyDescent="0.2">
      <c r="C89" s="199">
        <v>6540</v>
      </c>
      <c r="D89" s="37" t="s">
        <v>30</v>
      </c>
      <c r="E89" s="188">
        <f t="shared" si="25"/>
        <v>3710</v>
      </c>
      <c r="F89" s="188">
        <f t="shared" si="25"/>
        <v>3710</v>
      </c>
      <c r="G89" s="188">
        <f t="shared" si="25"/>
        <v>3710</v>
      </c>
      <c r="H89" s="188">
        <f t="shared" si="25"/>
        <v>3710</v>
      </c>
      <c r="I89" s="188">
        <f t="shared" si="25"/>
        <v>3710</v>
      </c>
      <c r="J89" s="188">
        <f t="shared" si="25"/>
        <v>3710</v>
      </c>
      <c r="K89" s="188">
        <f t="shared" si="25"/>
        <v>3710</v>
      </c>
      <c r="L89" s="188">
        <f t="shared" si="25"/>
        <v>3710</v>
      </c>
      <c r="M89" s="188">
        <f t="shared" si="25"/>
        <v>3710</v>
      </c>
      <c r="N89" s="188">
        <f t="shared" si="25"/>
        <v>3710</v>
      </c>
      <c r="O89" s="188">
        <f t="shared" si="25"/>
        <v>3710</v>
      </c>
      <c r="P89" s="188">
        <f t="shared" si="25"/>
        <v>3710</v>
      </c>
      <c r="Q89" s="68">
        <v>0</v>
      </c>
      <c r="R89" s="41"/>
      <c r="S89" s="59">
        <f t="shared" si="26"/>
        <v>44520</v>
      </c>
      <c r="T89" s="41"/>
      <c r="U89" s="37">
        <v>44520</v>
      </c>
    </row>
    <row r="90" spans="3:21" s="37" customFormat="1" ht="12" x14ac:dyDescent="0.2">
      <c r="C90" s="199">
        <v>6550</v>
      </c>
      <c r="D90" s="37" t="s">
        <v>31</v>
      </c>
      <c r="E90" s="188">
        <f t="shared" si="25"/>
        <v>0</v>
      </c>
      <c r="F90" s="188">
        <f t="shared" si="25"/>
        <v>0</v>
      </c>
      <c r="G90" s="188">
        <f t="shared" si="25"/>
        <v>0</v>
      </c>
      <c r="H90" s="188">
        <f t="shared" si="25"/>
        <v>0</v>
      </c>
      <c r="I90" s="188">
        <f t="shared" si="25"/>
        <v>0</v>
      </c>
      <c r="J90" s="188">
        <f t="shared" si="25"/>
        <v>0</v>
      </c>
      <c r="K90" s="188">
        <f t="shared" si="25"/>
        <v>0</v>
      </c>
      <c r="L90" s="188">
        <f t="shared" si="25"/>
        <v>0</v>
      </c>
      <c r="M90" s="188">
        <f t="shared" si="25"/>
        <v>0</v>
      </c>
      <c r="N90" s="188">
        <f t="shared" si="25"/>
        <v>0</v>
      </c>
      <c r="O90" s="188">
        <f t="shared" si="25"/>
        <v>0</v>
      </c>
      <c r="P90" s="188">
        <f t="shared" si="25"/>
        <v>0</v>
      </c>
      <c r="Q90" s="68">
        <v>0</v>
      </c>
      <c r="R90" s="41"/>
      <c r="S90" s="59">
        <f t="shared" si="26"/>
        <v>0</v>
      </c>
      <c r="T90" s="41"/>
    </row>
    <row r="91" spans="3:21" s="37" customFormat="1" ht="12" x14ac:dyDescent="0.2">
      <c r="C91" s="206">
        <v>6568</v>
      </c>
      <c r="D91" s="37" t="s">
        <v>186</v>
      </c>
      <c r="E91" s="188">
        <f t="shared" si="25"/>
        <v>0</v>
      </c>
      <c r="F91" s="188">
        <f t="shared" si="25"/>
        <v>0</v>
      </c>
      <c r="G91" s="188">
        <f t="shared" si="25"/>
        <v>0</v>
      </c>
      <c r="H91" s="188">
        <f t="shared" si="25"/>
        <v>0</v>
      </c>
      <c r="I91" s="188">
        <f t="shared" si="25"/>
        <v>0</v>
      </c>
      <c r="J91" s="188">
        <f t="shared" si="25"/>
        <v>0</v>
      </c>
      <c r="K91" s="188">
        <f t="shared" si="25"/>
        <v>0</v>
      </c>
      <c r="L91" s="188">
        <f t="shared" si="25"/>
        <v>0</v>
      </c>
      <c r="M91" s="188">
        <f t="shared" si="25"/>
        <v>0</v>
      </c>
      <c r="N91" s="188">
        <f t="shared" si="25"/>
        <v>0</v>
      </c>
      <c r="O91" s="188">
        <f t="shared" si="25"/>
        <v>0</v>
      </c>
      <c r="P91" s="188">
        <f t="shared" si="25"/>
        <v>0</v>
      </c>
      <c r="Q91" s="68">
        <v>0</v>
      </c>
      <c r="R91" s="41"/>
      <c r="S91" s="59">
        <f t="shared" si="26"/>
        <v>0</v>
      </c>
      <c r="T91" s="41"/>
    </row>
    <row r="92" spans="3:21" s="37" customFormat="1" ht="12" x14ac:dyDescent="0.2">
      <c r="C92" s="199">
        <v>6569</v>
      </c>
      <c r="D92" s="37" t="s">
        <v>32</v>
      </c>
      <c r="E92" s="188">
        <f t="shared" si="25"/>
        <v>0</v>
      </c>
      <c r="F92" s="188">
        <f t="shared" si="25"/>
        <v>0</v>
      </c>
      <c r="G92" s="188">
        <f t="shared" si="25"/>
        <v>0</v>
      </c>
      <c r="H92" s="188">
        <f t="shared" si="25"/>
        <v>0</v>
      </c>
      <c r="I92" s="188">
        <f t="shared" si="25"/>
        <v>0</v>
      </c>
      <c r="J92" s="188">
        <f t="shared" si="25"/>
        <v>0</v>
      </c>
      <c r="K92" s="188">
        <f t="shared" si="25"/>
        <v>0</v>
      </c>
      <c r="L92" s="188">
        <f t="shared" si="25"/>
        <v>0</v>
      </c>
      <c r="M92" s="188">
        <f t="shared" si="25"/>
        <v>0</v>
      </c>
      <c r="N92" s="188">
        <f t="shared" si="25"/>
        <v>0</v>
      </c>
      <c r="O92" s="188">
        <f t="shared" si="25"/>
        <v>0</v>
      </c>
      <c r="P92" s="188">
        <f t="shared" si="25"/>
        <v>0</v>
      </c>
      <c r="Q92" s="68">
        <v>0</v>
      </c>
      <c r="R92" s="41"/>
      <c r="S92" s="59">
        <f t="shared" si="26"/>
        <v>0</v>
      </c>
      <c r="T92" s="41"/>
    </row>
    <row r="93" spans="3:21" s="37" customFormat="1" ht="12" x14ac:dyDescent="0.2">
      <c r="C93" s="199">
        <v>6580</v>
      </c>
      <c r="D93" s="37" t="s">
        <v>33</v>
      </c>
      <c r="E93" s="188">
        <f t="shared" si="25"/>
        <v>4104.166666666667</v>
      </c>
      <c r="F93" s="188">
        <f t="shared" si="25"/>
        <v>4104.166666666667</v>
      </c>
      <c r="G93" s="188">
        <f t="shared" si="25"/>
        <v>4104.166666666667</v>
      </c>
      <c r="H93" s="188">
        <f t="shared" si="25"/>
        <v>4104.166666666667</v>
      </c>
      <c r="I93" s="188">
        <f t="shared" si="25"/>
        <v>4104.166666666667</v>
      </c>
      <c r="J93" s="188">
        <f t="shared" si="25"/>
        <v>4104.166666666667</v>
      </c>
      <c r="K93" s="188">
        <f t="shared" si="25"/>
        <v>4104.166666666667</v>
      </c>
      <c r="L93" s="188">
        <f t="shared" si="25"/>
        <v>4104.166666666667</v>
      </c>
      <c r="M93" s="188">
        <f t="shared" si="25"/>
        <v>4104.166666666667</v>
      </c>
      <c r="N93" s="188">
        <f t="shared" si="25"/>
        <v>4104.166666666667</v>
      </c>
      <c r="O93" s="188">
        <f t="shared" si="25"/>
        <v>4104.166666666667</v>
      </c>
      <c r="P93" s="188">
        <f t="shared" si="25"/>
        <v>4104.166666666667</v>
      </c>
      <c r="Q93" s="68">
        <v>0</v>
      </c>
      <c r="R93" s="41"/>
      <c r="S93" s="59">
        <f t="shared" si="26"/>
        <v>49249.999999999993</v>
      </c>
      <c r="T93" s="41"/>
      <c r="U93" s="37">
        <v>49250</v>
      </c>
    </row>
    <row r="94" spans="3:21" s="37" customFormat="1" ht="12" x14ac:dyDescent="0.2">
      <c r="C94" s="38"/>
      <c r="E94" s="73">
        <f>SUBTOTAL(9,E82:E93)</f>
        <v>14850.166666666668</v>
      </c>
      <c r="F94" s="73">
        <f t="shared" ref="F94:P94" si="27">SUBTOTAL(9,F82:F93)</f>
        <v>14850.166666666668</v>
      </c>
      <c r="G94" s="73">
        <f t="shared" si="27"/>
        <v>14850.166666666668</v>
      </c>
      <c r="H94" s="73">
        <f t="shared" si="27"/>
        <v>14850.166666666668</v>
      </c>
      <c r="I94" s="73">
        <f t="shared" si="27"/>
        <v>14850.166666666668</v>
      </c>
      <c r="J94" s="73">
        <f t="shared" si="27"/>
        <v>14850.166666666668</v>
      </c>
      <c r="K94" s="73">
        <f t="shared" si="27"/>
        <v>14850.166666666668</v>
      </c>
      <c r="L94" s="73">
        <f t="shared" si="27"/>
        <v>14850.166666666668</v>
      </c>
      <c r="M94" s="73">
        <f t="shared" si="27"/>
        <v>14850.166666666668</v>
      </c>
      <c r="N94" s="73">
        <f t="shared" si="27"/>
        <v>14850.166666666668</v>
      </c>
      <c r="O94" s="73">
        <f t="shared" si="27"/>
        <v>14850.166666666668</v>
      </c>
      <c r="P94" s="73">
        <f t="shared" si="27"/>
        <v>14850.166666666668</v>
      </c>
      <c r="Q94" s="73">
        <f>SUBTOTAL(9,Q82:Q93)</f>
        <v>0</v>
      </c>
      <c r="R94" s="41"/>
      <c r="S94" s="61">
        <f>SUBTOTAL(9,S82:S93)</f>
        <v>178202</v>
      </c>
      <c r="T94" s="41"/>
    </row>
    <row r="95" spans="3:21" s="37" customFormat="1" ht="12" x14ac:dyDescent="0.2">
      <c r="C95" s="49" t="s">
        <v>102</v>
      </c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41"/>
      <c r="S95" s="59"/>
      <c r="T95" s="41"/>
    </row>
    <row r="96" spans="3:21" s="37" customFormat="1" ht="12" x14ac:dyDescent="0.2">
      <c r="C96" s="199">
        <v>6610</v>
      </c>
      <c r="D96" s="37" t="s">
        <v>34</v>
      </c>
      <c r="E96" s="188">
        <f t="shared" ref="E96:P102" si="28">$U96/12</f>
        <v>1749.1666666666667</v>
      </c>
      <c r="F96" s="188">
        <f t="shared" si="28"/>
        <v>1749.1666666666667</v>
      </c>
      <c r="G96" s="188">
        <f t="shared" si="28"/>
        <v>1749.1666666666667</v>
      </c>
      <c r="H96" s="188">
        <f t="shared" si="28"/>
        <v>1749.1666666666667</v>
      </c>
      <c r="I96" s="188">
        <f t="shared" si="28"/>
        <v>1749.1666666666667</v>
      </c>
      <c r="J96" s="188">
        <f t="shared" si="28"/>
        <v>1749.1666666666667</v>
      </c>
      <c r="K96" s="188">
        <f t="shared" si="28"/>
        <v>1749.1666666666667</v>
      </c>
      <c r="L96" s="188">
        <f t="shared" si="28"/>
        <v>1749.1666666666667</v>
      </c>
      <c r="M96" s="188">
        <f t="shared" si="28"/>
        <v>1749.1666666666667</v>
      </c>
      <c r="N96" s="188">
        <f t="shared" si="28"/>
        <v>1749.1666666666667</v>
      </c>
      <c r="O96" s="188">
        <f t="shared" si="28"/>
        <v>1749.1666666666667</v>
      </c>
      <c r="P96" s="188">
        <f t="shared" si="28"/>
        <v>1749.1666666666667</v>
      </c>
      <c r="Q96" s="68">
        <v>0</v>
      </c>
      <c r="R96" s="41"/>
      <c r="S96" s="59">
        <f t="shared" ref="S96:S102" si="29">SUM(E96:Q96)</f>
        <v>20990</v>
      </c>
      <c r="T96" s="41"/>
      <c r="U96" s="37">
        <v>20990</v>
      </c>
    </row>
    <row r="97" spans="3:21" s="37" customFormat="1" ht="12" x14ac:dyDescent="0.2">
      <c r="C97" s="199">
        <v>6612</v>
      </c>
      <c r="D97" s="37" t="s">
        <v>35</v>
      </c>
      <c r="E97" s="188">
        <f t="shared" si="28"/>
        <v>0</v>
      </c>
      <c r="F97" s="188">
        <f t="shared" si="28"/>
        <v>0</v>
      </c>
      <c r="G97" s="188">
        <f t="shared" si="28"/>
        <v>0</v>
      </c>
      <c r="H97" s="188">
        <f t="shared" si="28"/>
        <v>0</v>
      </c>
      <c r="I97" s="188">
        <f t="shared" si="28"/>
        <v>0</v>
      </c>
      <c r="J97" s="188">
        <f t="shared" si="28"/>
        <v>0</v>
      </c>
      <c r="K97" s="188">
        <f t="shared" si="28"/>
        <v>0</v>
      </c>
      <c r="L97" s="188">
        <f t="shared" si="28"/>
        <v>0</v>
      </c>
      <c r="M97" s="188">
        <f t="shared" si="28"/>
        <v>0</v>
      </c>
      <c r="N97" s="188">
        <f t="shared" si="28"/>
        <v>0</v>
      </c>
      <c r="O97" s="188">
        <f t="shared" si="28"/>
        <v>0</v>
      </c>
      <c r="P97" s="188">
        <f t="shared" si="28"/>
        <v>0</v>
      </c>
      <c r="Q97" s="68">
        <v>0</v>
      </c>
      <c r="R97" s="41"/>
      <c r="S97" s="59">
        <f t="shared" si="29"/>
        <v>0</v>
      </c>
      <c r="T97" s="41"/>
    </row>
    <row r="98" spans="3:21" s="37" customFormat="1" ht="12" x14ac:dyDescent="0.2">
      <c r="C98" s="199">
        <v>6622</v>
      </c>
      <c r="D98" s="37" t="s">
        <v>36</v>
      </c>
      <c r="E98" s="188">
        <f t="shared" si="28"/>
        <v>200</v>
      </c>
      <c r="F98" s="188">
        <f t="shared" si="28"/>
        <v>200</v>
      </c>
      <c r="G98" s="188">
        <f t="shared" si="28"/>
        <v>200</v>
      </c>
      <c r="H98" s="188">
        <f t="shared" si="28"/>
        <v>200</v>
      </c>
      <c r="I98" s="188">
        <f t="shared" si="28"/>
        <v>200</v>
      </c>
      <c r="J98" s="188">
        <f t="shared" si="28"/>
        <v>200</v>
      </c>
      <c r="K98" s="188">
        <f t="shared" si="28"/>
        <v>200</v>
      </c>
      <c r="L98" s="188">
        <f t="shared" si="28"/>
        <v>200</v>
      </c>
      <c r="M98" s="188">
        <f t="shared" si="28"/>
        <v>200</v>
      </c>
      <c r="N98" s="188">
        <f t="shared" si="28"/>
        <v>200</v>
      </c>
      <c r="O98" s="188">
        <f t="shared" si="28"/>
        <v>200</v>
      </c>
      <c r="P98" s="188">
        <f t="shared" si="28"/>
        <v>200</v>
      </c>
      <c r="Q98" s="68">
        <v>0</v>
      </c>
      <c r="R98" s="41"/>
      <c r="S98" s="59">
        <f t="shared" si="29"/>
        <v>2400</v>
      </c>
      <c r="T98" s="41"/>
      <c r="U98" s="37">
        <v>2400</v>
      </c>
    </row>
    <row r="99" spans="3:21" s="37" customFormat="1" ht="12" x14ac:dyDescent="0.2">
      <c r="C99" s="199">
        <v>6641</v>
      </c>
      <c r="D99" s="37" t="s">
        <v>37</v>
      </c>
      <c r="E99" s="188">
        <f t="shared" si="28"/>
        <v>0</v>
      </c>
      <c r="F99" s="188">
        <f t="shared" si="28"/>
        <v>0</v>
      </c>
      <c r="G99" s="188">
        <f t="shared" si="28"/>
        <v>0</v>
      </c>
      <c r="H99" s="188">
        <f t="shared" si="28"/>
        <v>0</v>
      </c>
      <c r="I99" s="188">
        <f t="shared" si="28"/>
        <v>0</v>
      </c>
      <c r="J99" s="188">
        <f t="shared" si="28"/>
        <v>0</v>
      </c>
      <c r="K99" s="188">
        <f t="shared" si="28"/>
        <v>0</v>
      </c>
      <c r="L99" s="188">
        <f t="shared" si="28"/>
        <v>0</v>
      </c>
      <c r="M99" s="188">
        <f t="shared" si="28"/>
        <v>0</v>
      </c>
      <c r="N99" s="188">
        <f t="shared" si="28"/>
        <v>0</v>
      </c>
      <c r="O99" s="188">
        <f t="shared" si="28"/>
        <v>0</v>
      </c>
      <c r="P99" s="188">
        <f t="shared" si="28"/>
        <v>0</v>
      </c>
      <c r="Q99" s="68">
        <v>0</v>
      </c>
      <c r="R99" s="41"/>
      <c r="S99" s="59">
        <f t="shared" si="29"/>
        <v>0</v>
      </c>
      <c r="T99" s="41"/>
      <c r="U99" s="37">
        <v>0</v>
      </c>
    </row>
    <row r="100" spans="3:21" s="37" customFormat="1" ht="12" x14ac:dyDescent="0.2">
      <c r="C100" s="199">
        <v>6642</v>
      </c>
      <c r="D100" s="37" t="s">
        <v>38</v>
      </c>
      <c r="E100" s="188">
        <f t="shared" si="28"/>
        <v>0</v>
      </c>
      <c r="F100" s="188">
        <f t="shared" si="28"/>
        <v>0</v>
      </c>
      <c r="G100" s="188">
        <f t="shared" si="28"/>
        <v>0</v>
      </c>
      <c r="H100" s="188">
        <f t="shared" si="28"/>
        <v>0</v>
      </c>
      <c r="I100" s="188">
        <f t="shared" si="28"/>
        <v>0</v>
      </c>
      <c r="J100" s="188">
        <f t="shared" si="28"/>
        <v>0</v>
      </c>
      <c r="K100" s="188">
        <f t="shared" si="28"/>
        <v>0</v>
      </c>
      <c r="L100" s="188">
        <f t="shared" si="28"/>
        <v>0</v>
      </c>
      <c r="M100" s="188">
        <f t="shared" si="28"/>
        <v>0</v>
      </c>
      <c r="N100" s="188">
        <f t="shared" si="28"/>
        <v>0</v>
      </c>
      <c r="O100" s="188">
        <f t="shared" si="28"/>
        <v>0</v>
      </c>
      <c r="P100" s="188">
        <f t="shared" si="28"/>
        <v>0</v>
      </c>
      <c r="Q100" s="68">
        <v>0</v>
      </c>
      <c r="R100" s="41"/>
      <c r="S100" s="59">
        <f t="shared" si="29"/>
        <v>0</v>
      </c>
      <c r="T100" s="41"/>
      <c r="U100" s="37">
        <v>0</v>
      </c>
    </row>
    <row r="101" spans="3:21" s="37" customFormat="1" ht="12" x14ac:dyDescent="0.2">
      <c r="C101" s="199">
        <v>6651</v>
      </c>
      <c r="D101" s="37" t="s">
        <v>39</v>
      </c>
      <c r="E101" s="188">
        <f t="shared" si="28"/>
        <v>3567.1666666666665</v>
      </c>
      <c r="F101" s="188">
        <f t="shared" si="28"/>
        <v>3567.1666666666665</v>
      </c>
      <c r="G101" s="188">
        <f t="shared" si="28"/>
        <v>3567.1666666666665</v>
      </c>
      <c r="H101" s="188">
        <f t="shared" si="28"/>
        <v>3567.1666666666665</v>
      </c>
      <c r="I101" s="188">
        <f t="shared" si="28"/>
        <v>3567.1666666666665</v>
      </c>
      <c r="J101" s="188">
        <f t="shared" si="28"/>
        <v>3567.1666666666665</v>
      </c>
      <c r="K101" s="188">
        <f t="shared" si="28"/>
        <v>3567.1666666666665</v>
      </c>
      <c r="L101" s="188">
        <f t="shared" si="28"/>
        <v>3567.1666666666665</v>
      </c>
      <c r="M101" s="188">
        <f t="shared" si="28"/>
        <v>3567.1666666666665</v>
      </c>
      <c r="N101" s="188">
        <f t="shared" si="28"/>
        <v>3567.1666666666665</v>
      </c>
      <c r="O101" s="188">
        <f t="shared" si="28"/>
        <v>3567.1666666666665</v>
      </c>
      <c r="P101" s="188">
        <f t="shared" si="28"/>
        <v>3567.1666666666665</v>
      </c>
      <c r="Q101" s="68">
        <v>0</v>
      </c>
      <c r="R101" s="41"/>
      <c r="S101" s="59">
        <f t="shared" si="29"/>
        <v>42806</v>
      </c>
      <c r="T101" s="41"/>
      <c r="U101" s="37">
        <f>42686+120</f>
        <v>42806</v>
      </c>
    </row>
    <row r="102" spans="3:21" s="37" customFormat="1" ht="12" x14ac:dyDescent="0.2">
      <c r="C102" s="199">
        <v>6652</v>
      </c>
      <c r="D102" s="37" t="s">
        <v>40</v>
      </c>
      <c r="E102" s="188">
        <f t="shared" si="28"/>
        <v>0</v>
      </c>
      <c r="F102" s="188">
        <f t="shared" si="28"/>
        <v>0</v>
      </c>
      <c r="G102" s="188">
        <f t="shared" si="28"/>
        <v>0</v>
      </c>
      <c r="H102" s="188">
        <f t="shared" si="28"/>
        <v>0</v>
      </c>
      <c r="I102" s="188">
        <f t="shared" si="28"/>
        <v>0</v>
      </c>
      <c r="J102" s="188">
        <f t="shared" si="28"/>
        <v>0</v>
      </c>
      <c r="K102" s="188">
        <f t="shared" si="28"/>
        <v>0</v>
      </c>
      <c r="L102" s="188">
        <f t="shared" si="28"/>
        <v>0</v>
      </c>
      <c r="M102" s="188">
        <f t="shared" si="28"/>
        <v>0</v>
      </c>
      <c r="N102" s="188">
        <f t="shared" si="28"/>
        <v>0</v>
      </c>
      <c r="O102" s="188">
        <f t="shared" si="28"/>
        <v>0</v>
      </c>
      <c r="P102" s="188">
        <f t="shared" si="28"/>
        <v>0</v>
      </c>
      <c r="Q102" s="68">
        <v>0</v>
      </c>
      <c r="R102" s="41"/>
      <c r="S102" s="59">
        <f t="shared" si="29"/>
        <v>0</v>
      </c>
      <c r="T102" s="41"/>
    </row>
    <row r="103" spans="3:21" s="37" customFormat="1" ht="12" x14ac:dyDescent="0.2">
      <c r="C103" s="38"/>
      <c r="E103" s="73">
        <f>SUBTOTAL(9,E96:E102)</f>
        <v>5516.333333333333</v>
      </c>
      <c r="F103" s="73">
        <f t="shared" ref="F103:S103" si="30">SUBTOTAL(9,F96:F102)</f>
        <v>5516.333333333333</v>
      </c>
      <c r="G103" s="73">
        <f t="shared" si="30"/>
        <v>5516.333333333333</v>
      </c>
      <c r="H103" s="73">
        <f t="shared" si="30"/>
        <v>5516.333333333333</v>
      </c>
      <c r="I103" s="73">
        <f t="shared" si="30"/>
        <v>5516.333333333333</v>
      </c>
      <c r="J103" s="73">
        <f t="shared" si="30"/>
        <v>5516.333333333333</v>
      </c>
      <c r="K103" s="73">
        <f t="shared" si="30"/>
        <v>5516.333333333333</v>
      </c>
      <c r="L103" s="73">
        <f t="shared" si="30"/>
        <v>5516.333333333333</v>
      </c>
      <c r="M103" s="73">
        <f t="shared" si="30"/>
        <v>5516.333333333333</v>
      </c>
      <c r="N103" s="73">
        <f t="shared" si="30"/>
        <v>5516.333333333333</v>
      </c>
      <c r="O103" s="73">
        <f t="shared" si="30"/>
        <v>5516.333333333333</v>
      </c>
      <c r="P103" s="73">
        <f t="shared" si="30"/>
        <v>5516.333333333333</v>
      </c>
      <c r="Q103" s="73">
        <f t="shared" si="30"/>
        <v>0</v>
      </c>
      <c r="R103" s="41"/>
      <c r="S103" s="61">
        <f t="shared" si="30"/>
        <v>66196</v>
      </c>
      <c r="T103" s="41"/>
    </row>
    <row r="104" spans="3:21" s="37" customFormat="1" ht="12" x14ac:dyDescent="0.2">
      <c r="C104" s="49" t="s">
        <v>103</v>
      </c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41"/>
      <c r="S104" s="59"/>
      <c r="T104" s="41"/>
    </row>
    <row r="105" spans="3:21" s="37" customFormat="1" ht="12" x14ac:dyDescent="0.2">
      <c r="C105" s="199">
        <v>6734</v>
      </c>
      <c r="D105" s="37" t="s">
        <v>41</v>
      </c>
      <c r="E105" s="188">
        <f t="shared" ref="E105:P105" si="31">$U105/12</f>
        <v>0</v>
      </c>
      <c r="F105" s="188">
        <f t="shared" si="31"/>
        <v>0</v>
      </c>
      <c r="G105" s="188">
        <f t="shared" si="31"/>
        <v>0</v>
      </c>
      <c r="H105" s="188">
        <f t="shared" si="31"/>
        <v>0</v>
      </c>
      <c r="I105" s="188">
        <f t="shared" si="31"/>
        <v>0</v>
      </c>
      <c r="J105" s="188">
        <f t="shared" si="31"/>
        <v>0</v>
      </c>
      <c r="K105" s="188">
        <f t="shared" si="31"/>
        <v>0</v>
      </c>
      <c r="L105" s="188">
        <f t="shared" si="31"/>
        <v>0</v>
      </c>
      <c r="M105" s="188">
        <f t="shared" si="31"/>
        <v>0</v>
      </c>
      <c r="N105" s="188">
        <f t="shared" si="31"/>
        <v>0</v>
      </c>
      <c r="O105" s="188">
        <f t="shared" si="31"/>
        <v>0</v>
      </c>
      <c r="P105" s="188">
        <f t="shared" si="31"/>
        <v>0</v>
      </c>
      <c r="Q105" s="68">
        <v>0</v>
      </c>
      <c r="R105" s="41"/>
      <c r="S105" s="59">
        <f t="shared" ref="S105" si="32">SUM(E105:Q105)</f>
        <v>0</v>
      </c>
      <c r="T105" s="41"/>
    </row>
    <row r="106" spans="3:21" s="37" customFormat="1" ht="12" x14ac:dyDescent="0.2">
      <c r="C106" s="38"/>
      <c r="E106" s="73">
        <f>SUBTOTAL(9,E105)</f>
        <v>0</v>
      </c>
      <c r="F106" s="73">
        <f t="shared" ref="F106:S106" si="33">SUBTOTAL(9,F105)</f>
        <v>0</v>
      </c>
      <c r="G106" s="73">
        <f t="shared" si="33"/>
        <v>0</v>
      </c>
      <c r="H106" s="73">
        <f t="shared" si="33"/>
        <v>0</v>
      </c>
      <c r="I106" s="73">
        <f t="shared" si="33"/>
        <v>0</v>
      </c>
      <c r="J106" s="73">
        <f t="shared" si="33"/>
        <v>0</v>
      </c>
      <c r="K106" s="73">
        <f t="shared" si="33"/>
        <v>0</v>
      </c>
      <c r="L106" s="73">
        <f t="shared" si="33"/>
        <v>0</v>
      </c>
      <c r="M106" s="73">
        <f t="shared" si="33"/>
        <v>0</v>
      </c>
      <c r="N106" s="73">
        <f t="shared" si="33"/>
        <v>0</v>
      </c>
      <c r="O106" s="73">
        <f t="shared" si="33"/>
        <v>0</v>
      </c>
      <c r="P106" s="73">
        <f t="shared" si="33"/>
        <v>0</v>
      </c>
      <c r="Q106" s="73">
        <f t="shared" si="33"/>
        <v>0</v>
      </c>
      <c r="R106" s="41"/>
      <c r="S106" s="61">
        <f t="shared" si="33"/>
        <v>0</v>
      </c>
      <c r="T106" s="41"/>
    </row>
    <row r="107" spans="3:21" s="37" customFormat="1" ht="12" x14ac:dyDescent="0.2">
      <c r="C107" s="49" t="s">
        <v>104</v>
      </c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41"/>
      <c r="S107" s="59"/>
      <c r="T107" s="41"/>
    </row>
    <row r="108" spans="3:21" s="37" customFormat="1" ht="12" x14ac:dyDescent="0.2">
      <c r="C108" s="199">
        <v>6810</v>
      </c>
      <c r="D108" s="37" t="s">
        <v>42</v>
      </c>
      <c r="E108" s="188">
        <f t="shared" ref="E108:P108" si="34">$U108/12</f>
        <v>1438.5</v>
      </c>
      <c r="F108" s="188">
        <f t="shared" si="34"/>
        <v>1438.5</v>
      </c>
      <c r="G108" s="188">
        <f t="shared" si="34"/>
        <v>1438.5</v>
      </c>
      <c r="H108" s="188">
        <f t="shared" si="34"/>
        <v>1438.5</v>
      </c>
      <c r="I108" s="188">
        <f t="shared" si="34"/>
        <v>1438.5</v>
      </c>
      <c r="J108" s="188">
        <f t="shared" si="34"/>
        <v>1438.5</v>
      </c>
      <c r="K108" s="188">
        <f t="shared" si="34"/>
        <v>1438.5</v>
      </c>
      <c r="L108" s="188">
        <f t="shared" si="34"/>
        <v>1438.5</v>
      </c>
      <c r="M108" s="188">
        <f t="shared" si="34"/>
        <v>1438.5</v>
      </c>
      <c r="N108" s="188">
        <f t="shared" si="34"/>
        <v>1438.5</v>
      </c>
      <c r="O108" s="188">
        <f t="shared" si="34"/>
        <v>1438.5</v>
      </c>
      <c r="P108" s="188">
        <f t="shared" si="34"/>
        <v>1438.5</v>
      </c>
      <c r="Q108" s="68">
        <v>0</v>
      </c>
      <c r="R108" s="41"/>
      <c r="S108" s="59">
        <f t="shared" ref="S108" si="35">SUM(E108:Q108)</f>
        <v>17262</v>
      </c>
      <c r="T108" s="41"/>
      <c r="U108" s="37">
        <v>17262</v>
      </c>
    </row>
    <row r="109" spans="3:21" s="37" customFormat="1" ht="12" x14ac:dyDescent="0.2">
      <c r="C109" s="38"/>
      <c r="E109" s="73">
        <f>SUBTOTAL(9,E108)</f>
        <v>1438.5</v>
      </c>
      <c r="F109" s="73">
        <f t="shared" ref="F109:Q109" si="36">SUBTOTAL(9,F108)</f>
        <v>1438.5</v>
      </c>
      <c r="G109" s="73">
        <f t="shared" si="36"/>
        <v>1438.5</v>
      </c>
      <c r="H109" s="73">
        <f t="shared" si="36"/>
        <v>1438.5</v>
      </c>
      <c r="I109" s="73">
        <f t="shared" si="36"/>
        <v>1438.5</v>
      </c>
      <c r="J109" s="73">
        <f t="shared" si="36"/>
        <v>1438.5</v>
      </c>
      <c r="K109" s="73">
        <f t="shared" si="36"/>
        <v>1438.5</v>
      </c>
      <c r="L109" s="73">
        <f t="shared" si="36"/>
        <v>1438.5</v>
      </c>
      <c r="M109" s="73">
        <f t="shared" si="36"/>
        <v>1438.5</v>
      </c>
      <c r="N109" s="73">
        <f t="shared" si="36"/>
        <v>1438.5</v>
      </c>
      <c r="O109" s="73">
        <f t="shared" si="36"/>
        <v>1438.5</v>
      </c>
      <c r="P109" s="73">
        <f t="shared" si="36"/>
        <v>1438.5</v>
      </c>
      <c r="Q109" s="73">
        <f t="shared" si="36"/>
        <v>0</v>
      </c>
      <c r="R109" s="41"/>
      <c r="S109" s="61">
        <f t="shared" ref="S109" si="37">SUBTOTAL(9,S108)</f>
        <v>17262</v>
      </c>
      <c r="T109" s="41"/>
    </row>
    <row r="110" spans="3:21" s="45" customFormat="1" ht="12" x14ac:dyDescent="0.2">
      <c r="C110" s="49" t="s">
        <v>43</v>
      </c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5"/>
      <c r="R110" s="48"/>
      <c r="S110" s="62"/>
      <c r="T110" s="48"/>
    </row>
    <row r="111" spans="3:21" s="37" customFormat="1" ht="12" x14ac:dyDescent="0.2">
      <c r="C111" s="199">
        <v>7306</v>
      </c>
      <c r="D111" s="37" t="s">
        <v>43</v>
      </c>
      <c r="E111" s="188">
        <f t="shared" ref="E111:P112" si="38">$U111/12</f>
        <v>0</v>
      </c>
      <c r="F111" s="188">
        <f t="shared" si="38"/>
        <v>0</v>
      </c>
      <c r="G111" s="188">
        <f t="shared" si="38"/>
        <v>0</v>
      </c>
      <c r="H111" s="188">
        <f t="shared" si="38"/>
        <v>0</v>
      </c>
      <c r="I111" s="188">
        <f t="shared" si="38"/>
        <v>0</v>
      </c>
      <c r="J111" s="188">
        <f t="shared" si="38"/>
        <v>0</v>
      </c>
      <c r="K111" s="188">
        <f t="shared" si="38"/>
        <v>0</v>
      </c>
      <c r="L111" s="188">
        <f t="shared" si="38"/>
        <v>0</v>
      </c>
      <c r="M111" s="188">
        <f t="shared" si="38"/>
        <v>0</v>
      </c>
      <c r="N111" s="188">
        <f t="shared" si="38"/>
        <v>0</v>
      </c>
      <c r="O111" s="188">
        <f t="shared" si="38"/>
        <v>0</v>
      </c>
      <c r="P111" s="188">
        <f t="shared" si="38"/>
        <v>0</v>
      </c>
      <c r="Q111" s="68">
        <v>0</v>
      </c>
      <c r="R111" s="41"/>
      <c r="S111" s="62">
        <f t="shared" ref="S111:S112" si="39">SUM(E111:Q111)</f>
        <v>0</v>
      </c>
      <c r="T111" s="41"/>
    </row>
    <row r="112" spans="3:21" s="37" customFormat="1" ht="12" x14ac:dyDescent="0.2">
      <c r="C112" s="38">
        <v>7901</v>
      </c>
      <c r="D112" s="37" t="s">
        <v>177</v>
      </c>
      <c r="E112" s="188">
        <f t="shared" si="38"/>
        <v>0</v>
      </c>
      <c r="F112" s="188">
        <f t="shared" si="38"/>
        <v>0</v>
      </c>
      <c r="G112" s="188">
        <f t="shared" si="38"/>
        <v>0</v>
      </c>
      <c r="H112" s="188">
        <f t="shared" si="38"/>
        <v>0</v>
      </c>
      <c r="I112" s="188">
        <f t="shared" si="38"/>
        <v>0</v>
      </c>
      <c r="J112" s="188">
        <f t="shared" si="38"/>
        <v>0</v>
      </c>
      <c r="K112" s="188">
        <f t="shared" si="38"/>
        <v>0</v>
      </c>
      <c r="L112" s="188">
        <f t="shared" si="38"/>
        <v>0</v>
      </c>
      <c r="M112" s="188">
        <f t="shared" si="38"/>
        <v>0</v>
      </c>
      <c r="N112" s="188">
        <f t="shared" si="38"/>
        <v>0</v>
      </c>
      <c r="O112" s="188">
        <f t="shared" si="38"/>
        <v>0</v>
      </c>
      <c r="P112" s="188">
        <f t="shared" si="38"/>
        <v>0</v>
      </c>
      <c r="Q112" s="70">
        <v>0</v>
      </c>
      <c r="R112" s="41"/>
      <c r="S112" s="62">
        <f t="shared" si="39"/>
        <v>0</v>
      </c>
      <c r="T112" s="41"/>
    </row>
    <row r="113" spans="1:20" s="37" customFormat="1" ht="12" x14ac:dyDescent="0.2">
      <c r="C113" s="38"/>
      <c r="E113" s="73">
        <f>SUBTOTAL(9,E111:E112)</f>
        <v>0</v>
      </c>
      <c r="F113" s="73">
        <f t="shared" ref="F113:P113" si="40">SUBTOTAL(9,F111:F112)</f>
        <v>0</v>
      </c>
      <c r="G113" s="73">
        <f t="shared" si="40"/>
        <v>0</v>
      </c>
      <c r="H113" s="73">
        <f t="shared" si="40"/>
        <v>0</v>
      </c>
      <c r="I113" s="73">
        <f t="shared" si="40"/>
        <v>0</v>
      </c>
      <c r="J113" s="73">
        <f t="shared" si="40"/>
        <v>0</v>
      </c>
      <c r="K113" s="73">
        <f t="shared" si="40"/>
        <v>0</v>
      </c>
      <c r="L113" s="73">
        <f t="shared" si="40"/>
        <v>0</v>
      </c>
      <c r="M113" s="73">
        <f t="shared" si="40"/>
        <v>0</v>
      </c>
      <c r="N113" s="73">
        <f t="shared" si="40"/>
        <v>0</v>
      </c>
      <c r="O113" s="73">
        <f t="shared" si="40"/>
        <v>0</v>
      </c>
      <c r="P113" s="73">
        <f t="shared" si="40"/>
        <v>0</v>
      </c>
      <c r="Q113" s="73">
        <f>SUBTOTAL(9,Q111:Q112)</f>
        <v>0</v>
      </c>
      <c r="R113" s="41"/>
      <c r="S113" s="61">
        <f>SUBTOTAL(9,S111:S112)</f>
        <v>0</v>
      </c>
      <c r="T113" s="41"/>
    </row>
    <row r="114" spans="1:20" s="37" customFormat="1" ht="9" customHeight="1" x14ac:dyDescent="0.2">
      <c r="C114" s="38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41"/>
      <c r="S114" s="59"/>
      <c r="T114" s="41"/>
    </row>
    <row r="115" spans="1:20" s="45" customFormat="1" ht="12" x14ac:dyDescent="0.2">
      <c r="A115" s="45" t="s">
        <v>107</v>
      </c>
      <c r="C115" s="46"/>
      <c r="E115" s="71">
        <f t="shared" ref="E115:Q115" si="41">SUBTOTAL(9,E30:E114)</f>
        <v>158782.43175236107</v>
      </c>
      <c r="F115" s="71">
        <f t="shared" si="41"/>
        <v>158782.43175236107</v>
      </c>
      <c r="G115" s="71">
        <f t="shared" si="41"/>
        <v>158782.43175236107</v>
      </c>
      <c r="H115" s="71">
        <f t="shared" si="41"/>
        <v>158782.43175236107</v>
      </c>
      <c r="I115" s="71">
        <f t="shared" si="41"/>
        <v>158782.43175236107</v>
      </c>
      <c r="J115" s="71">
        <f t="shared" si="41"/>
        <v>158782.43175236107</v>
      </c>
      <c r="K115" s="71">
        <f t="shared" si="41"/>
        <v>158782.43175236107</v>
      </c>
      <c r="L115" s="71">
        <f t="shared" si="41"/>
        <v>158782.43175236107</v>
      </c>
      <c r="M115" s="71">
        <f t="shared" si="41"/>
        <v>158782.43175236107</v>
      </c>
      <c r="N115" s="71">
        <f t="shared" si="41"/>
        <v>158782.43175236107</v>
      </c>
      <c r="O115" s="71">
        <f t="shared" si="41"/>
        <v>158782.43175236107</v>
      </c>
      <c r="P115" s="71">
        <f t="shared" si="41"/>
        <v>158782.43175236107</v>
      </c>
      <c r="Q115" s="69">
        <f t="shared" si="41"/>
        <v>0</v>
      </c>
      <c r="R115" s="48"/>
      <c r="S115" s="60">
        <f>SUBTOTAL(9,S30:S114)</f>
        <v>1905389.1810283335</v>
      </c>
      <c r="T115" s="48"/>
    </row>
    <row r="116" spans="1:20" s="37" customFormat="1" ht="12" x14ac:dyDescent="0.2">
      <c r="C116" s="38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41"/>
      <c r="S116" s="59"/>
      <c r="T116" s="41"/>
    </row>
    <row r="117" spans="1:20" s="45" customFormat="1" ht="12.75" thickBot="1" x14ac:dyDescent="0.25">
      <c r="A117" s="45" t="s">
        <v>108</v>
      </c>
      <c r="C117" s="46"/>
      <c r="E117" s="193">
        <f t="shared" ref="E117:Q117" si="42">E27-E115</f>
        <v>10847.568247638934</v>
      </c>
      <c r="F117" s="193">
        <f t="shared" si="42"/>
        <v>10847.568247638934</v>
      </c>
      <c r="G117" s="193">
        <f t="shared" si="42"/>
        <v>10847.568247638934</v>
      </c>
      <c r="H117" s="193">
        <f t="shared" si="42"/>
        <v>10847.568247638934</v>
      </c>
      <c r="I117" s="193">
        <f t="shared" si="42"/>
        <v>10847.568247638934</v>
      </c>
      <c r="J117" s="193">
        <f t="shared" si="42"/>
        <v>10847.568247638934</v>
      </c>
      <c r="K117" s="193">
        <f t="shared" si="42"/>
        <v>10847.568247638934</v>
      </c>
      <c r="L117" s="193">
        <f t="shared" si="42"/>
        <v>10847.568247638934</v>
      </c>
      <c r="M117" s="193">
        <f t="shared" si="42"/>
        <v>10847.568247638934</v>
      </c>
      <c r="N117" s="193">
        <f t="shared" si="42"/>
        <v>10847.568247638934</v>
      </c>
      <c r="O117" s="193">
        <f t="shared" si="42"/>
        <v>10847.568247638934</v>
      </c>
      <c r="P117" s="193">
        <f t="shared" si="42"/>
        <v>10847.568247638934</v>
      </c>
      <c r="Q117" s="193">
        <f t="shared" si="42"/>
        <v>2.6800000000062028</v>
      </c>
      <c r="R117" s="191"/>
      <c r="S117" s="648">
        <f>S27-S115</f>
        <v>130173.49897166668</v>
      </c>
      <c r="T117" s="191"/>
    </row>
    <row r="118" spans="1:20" s="37" customFormat="1" ht="12.75" thickTop="1" x14ac:dyDescent="0.2">
      <c r="C118" s="38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41"/>
      <c r="S118" s="40"/>
      <c r="T118" s="41"/>
    </row>
    <row r="119" spans="1:20" s="37" customFormat="1" ht="12" x14ac:dyDescent="0.2">
      <c r="A119" s="53" t="s">
        <v>109</v>
      </c>
      <c r="B119" s="54"/>
      <c r="C119" s="54"/>
      <c r="D119" s="54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41"/>
      <c r="S119" s="40"/>
      <c r="T119" s="41"/>
    </row>
    <row r="120" spans="1:20" s="37" customFormat="1" ht="12" x14ac:dyDescent="0.2">
      <c r="A120" s="53"/>
      <c r="B120" s="53"/>
      <c r="C120" s="54" t="s">
        <v>110</v>
      </c>
      <c r="D120" s="54"/>
      <c r="E120" s="67">
        <f>E117</f>
        <v>10847.568247638934</v>
      </c>
      <c r="F120" s="67">
        <f t="shared" ref="F120:Q120" si="43">F117</f>
        <v>10847.568247638934</v>
      </c>
      <c r="G120" s="67">
        <f t="shared" si="43"/>
        <v>10847.568247638934</v>
      </c>
      <c r="H120" s="67">
        <f t="shared" si="43"/>
        <v>10847.568247638934</v>
      </c>
      <c r="I120" s="67">
        <f t="shared" si="43"/>
        <v>10847.568247638934</v>
      </c>
      <c r="J120" s="67">
        <f t="shared" si="43"/>
        <v>10847.568247638934</v>
      </c>
      <c r="K120" s="67">
        <f t="shared" si="43"/>
        <v>10847.568247638934</v>
      </c>
      <c r="L120" s="67">
        <f t="shared" si="43"/>
        <v>10847.568247638934</v>
      </c>
      <c r="M120" s="67">
        <f t="shared" si="43"/>
        <v>10847.568247638934</v>
      </c>
      <c r="N120" s="67">
        <f t="shared" si="43"/>
        <v>10847.568247638934</v>
      </c>
      <c r="O120" s="67">
        <f t="shared" si="43"/>
        <v>10847.568247638934</v>
      </c>
      <c r="P120" s="67">
        <f t="shared" si="43"/>
        <v>10847.568247638934</v>
      </c>
      <c r="Q120" s="67">
        <f t="shared" si="43"/>
        <v>2.6800000000062028</v>
      </c>
      <c r="R120" s="41"/>
      <c r="S120" s="40"/>
      <c r="T120" s="41"/>
    </row>
    <row r="121" spans="1:20" s="37" customFormat="1" ht="12" x14ac:dyDescent="0.2">
      <c r="A121" s="54"/>
      <c r="B121" s="54" t="s">
        <v>111</v>
      </c>
      <c r="C121" s="54" t="s">
        <v>112</v>
      </c>
      <c r="D121" s="54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41"/>
      <c r="S121" s="40"/>
      <c r="T121" s="41"/>
    </row>
    <row r="122" spans="1:20" s="37" customFormat="1" ht="12" x14ac:dyDescent="0.2">
      <c r="A122" s="54"/>
      <c r="B122" s="54" t="s">
        <v>111</v>
      </c>
      <c r="C122" s="54"/>
      <c r="D122" s="55" t="s">
        <v>113</v>
      </c>
      <c r="E122" s="67">
        <v>0</v>
      </c>
      <c r="F122" s="67">
        <v>0</v>
      </c>
      <c r="G122" s="67">
        <v>0</v>
      </c>
      <c r="H122" s="67">
        <v>0</v>
      </c>
      <c r="I122" s="67">
        <v>0</v>
      </c>
      <c r="J122" s="67">
        <v>0</v>
      </c>
      <c r="K122" s="67">
        <v>0</v>
      </c>
      <c r="L122" s="67">
        <v>0</v>
      </c>
      <c r="M122" s="67">
        <v>0</v>
      </c>
      <c r="N122" s="67">
        <v>0</v>
      </c>
      <c r="O122" s="67">
        <v>0</v>
      </c>
      <c r="P122" s="67">
        <v>0</v>
      </c>
      <c r="Q122" s="67">
        <v>0</v>
      </c>
      <c r="R122" s="41"/>
      <c r="S122" s="40"/>
      <c r="T122" s="41"/>
    </row>
    <row r="123" spans="1:20" s="37" customFormat="1" ht="12" x14ac:dyDescent="0.2">
      <c r="A123" s="54"/>
      <c r="B123" s="54" t="s">
        <v>111</v>
      </c>
      <c r="C123" s="54"/>
      <c r="D123" s="55" t="s">
        <v>114</v>
      </c>
      <c r="E123" s="67">
        <v>0</v>
      </c>
      <c r="F123" s="67">
        <v>0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67">
        <v>0</v>
      </c>
      <c r="M123" s="67">
        <v>0</v>
      </c>
      <c r="N123" s="67">
        <v>0</v>
      </c>
      <c r="O123" s="67">
        <v>0</v>
      </c>
      <c r="P123" s="67">
        <v>0</v>
      </c>
      <c r="Q123" s="67">
        <v>-2.6800000000062028</v>
      </c>
      <c r="R123" s="41"/>
      <c r="S123" s="40"/>
      <c r="T123" s="41"/>
    </row>
    <row r="124" spans="1:20" s="37" customFormat="1" ht="12" x14ac:dyDescent="0.2">
      <c r="A124" s="54"/>
      <c r="B124" s="54" t="s">
        <v>111</v>
      </c>
      <c r="C124" s="54"/>
      <c r="D124" s="55" t="s">
        <v>115</v>
      </c>
      <c r="E124" s="67">
        <v>0</v>
      </c>
      <c r="F124" s="67">
        <v>0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67">
        <v>0</v>
      </c>
      <c r="M124" s="67">
        <v>0</v>
      </c>
      <c r="N124" s="67">
        <v>0</v>
      </c>
      <c r="O124" s="67">
        <v>0</v>
      </c>
      <c r="P124" s="67">
        <v>0</v>
      </c>
      <c r="Q124" s="67">
        <v>0</v>
      </c>
      <c r="R124" s="41"/>
      <c r="S124" s="40"/>
      <c r="T124" s="41"/>
    </row>
    <row r="125" spans="1:20" s="37" customFormat="1" ht="12" x14ac:dyDescent="0.2">
      <c r="A125" s="54"/>
      <c r="B125" s="54" t="s">
        <v>111</v>
      </c>
      <c r="C125" s="54"/>
      <c r="D125" s="55" t="s">
        <v>116</v>
      </c>
      <c r="E125" s="67">
        <v>0</v>
      </c>
      <c r="F125" s="67">
        <v>0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  <c r="M125" s="67">
        <v>0</v>
      </c>
      <c r="N125" s="67">
        <v>0</v>
      </c>
      <c r="O125" s="67">
        <v>0</v>
      </c>
      <c r="P125" s="67">
        <v>0</v>
      </c>
      <c r="Q125" s="67">
        <v>0</v>
      </c>
      <c r="R125" s="41"/>
      <c r="S125" s="40"/>
      <c r="T125" s="41"/>
    </row>
    <row r="126" spans="1:20" s="37" customFormat="1" ht="12" x14ac:dyDescent="0.2">
      <c r="A126" s="54"/>
      <c r="B126" s="54" t="s">
        <v>111</v>
      </c>
      <c r="C126" s="54"/>
      <c r="D126" s="55" t="s">
        <v>117</v>
      </c>
      <c r="E126" s="67">
        <v>0</v>
      </c>
      <c r="F126" s="67">
        <v>0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67">
        <v>0</v>
      </c>
      <c r="M126" s="67">
        <v>0</v>
      </c>
      <c r="N126" s="67">
        <v>0</v>
      </c>
      <c r="O126" s="67">
        <v>0</v>
      </c>
      <c r="P126" s="67">
        <v>0</v>
      </c>
      <c r="Q126" s="67">
        <v>0</v>
      </c>
      <c r="R126" s="41"/>
      <c r="S126" s="40"/>
      <c r="T126" s="41"/>
    </row>
    <row r="127" spans="1:20" s="37" customFormat="1" ht="12" x14ac:dyDescent="0.2">
      <c r="A127" s="54"/>
      <c r="B127" s="54" t="s">
        <v>111</v>
      </c>
      <c r="C127" s="54"/>
      <c r="D127" s="55" t="s">
        <v>118</v>
      </c>
      <c r="E127" s="67">
        <v>0</v>
      </c>
      <c r="F127" s="67">
        <v>0</v>
      </c>
      <c r="G127" s="67">
        <v>0</v>
      </c>
      <c r="H127" s="67">
        <v>0</v>
      </c>
      <c r="I127" s="67">
        <v>0</v>
      </c>
      <c r="J127" s="67">
        <v>0</v>
      </c>
      <c r="K127" s="67">
        <v>0</v>
      </c>
      <c r="L127" s="67">
        <v>0</v>
      </c>
      <c r="M127" s="67">
        <v>0</v>
      </c>
      <c r="N127" s="67">
        <v>0</v>
      </c>
      <c r="O127" s="67">
        <v>0</v>
      </c>
      <c r="P127" s="67">
        <v>0</v>
      </c>
      <c r="Q127" s="67">
        <v>0</v>
      </c>
      <c r="R127" s="41"/>
      <c r="S127" s="40"/>
      <c r="T127" s="41"/>
    </row>
    <row r="128" spans="1:20" s="37" customFormat="1" ht="12" x14ac:dyDescent="0.2">
      <c r="A128" s="54"/>
      <c r="B128" s="54" t="s">
        <v>111</v>
      </c>
      <c r="C128" s="54"/>
      <c r="D128" s="55" t="s">
        <v>119</v>
      </c>
      <c r="E128" s="67">
        <v>0</v>
      </c>
      <c r="F128" s="67">
        <v>0</v>
      </c>
      <c r="G128" s="67">
        <v>0</v>
      </c>
      <c r="H128" s="67">
        <v>0</v>
      </c>
      <c r="I128" s="67">
        <v>0</v>
      </c>
      <c r="J128" s="67">
        <v>0</v>
      </c>
      <c r="K128" s="67">
        <v>0</v>
      </c>
      <c r="L128" s="67">
        <v>0</v>
      </c>
      <c r="M128" s="67">
        <v>0</v>
      </c>
      <c r="N128" s="67">
        <v>0</v>
      </c>
      <c r="O128" s="67">
        <v>0</v>
      </c>
      <c r="P128" s="67">
        <v>0</v>
      </c>
      <c r="Q128" s="67">
        <v>0</v>
      </c>
      <c r="R128" s="41"/>
      <c r="S128" s="40"/>
      <c r="T128" s="41"/>
    </row>
    <row r="129" spans="1:20" s="37" customFormat="1" ht="12" x14ac:dyDescent="0.2">
      <c r="A129" s="54"/>
      <c r="B129" s="54" t="s">
        <v>111</v>
      </c>
      <c r="C129" s="54"/>
      <c r="D129" s="55" t="s">
        <v>120</v>
      </c>
      <c r="E129" s="67">
        <v>0</v>
      </c>
      <c r="F129" s="67">
        <v>0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67">
        <v>0</v>
      </c>
      <c r="M129" s="67">
        <v>0</v>
      </c>
      <c r="N129" s="67">
        <v>0</v>
      </c>
      <c r="O129" s="67">
        <v>0</v>
      </c>
      <c r="P129" s="67">
        <v>0</v>
      </c>
      <c r="Q129" s="67">
        <v>0</v>
      </c>
      <c r="R129" s="41"/>
      <c r="S129" s="40"/>
      <c r="T129" s="41"/>
    </row>
    <row r="130" spans="1:20" s="37" customFormat="1" ht="12" x14ac:dyDescent="0.2">
      <c r="A130" s="54"/>
      <c r="B130" s="54" t="s">
        <v>111</v>
      </c>
      <c r="C130" s="54"/>
      <c r="D130" s="55" t="s">
        <v>121</v>
      </c>
      <c r="E130" s="67">
        <v>0</v>
      </c>
      <c r="F130" s="67">
        <v>0</v>
      </c>
      <c r="G130" s="67">
        <v>0</v>
      </c>
      <c r="H130" s="67">
        <v>0</v>
      </c>
      <c r="I130" s="67">
        <v>0</v>
      </c>
      <c r="J130" s="67">
        <v>0</v>
      </c>
      <c r="K130" s="67">
        <v>0</v>
      </c>
      <c r="L130" s="67">
        <v>0</v>
      </c>
      <c r="M130" s="67">
        <v>0</v>
      </c>
      <c r="N130" s="67">
        <v>0</v>
      </c>
      <c r="O130" s="67">
        <v>0</v>
      </c>
      <c r="P130" s="67">
        <v>0</v>
      </c>
      <c r="Q130" s="67">
        <v>0</v>
      </c>
      <c r="R130" s="41"/>
      <c r="S130" s="40"/>
      <c r="T130" s="41"/>
    </row>
    <row r="131" spans="1:20" s="37" customFormat="1" ht="12" x14ac:dyDescent="0.2">
      <c r="A131" s="54"/>
      <c r="B131" s="54" t="s">
        <v>111</v>
      </c>
      <c r="C131" s="54" t="s">
        <v>122</v>
      </c>
      <c r="D131" s="55"/>
      <c r="E131" s="67">
        <v>0</v>
      </c>
      <c r="F131" s="67">
        <v>0</v>
      </c>
      <c r="G131" s="67">
        <v>0</v>
      </c>
      <c r="H131" s="67">
        <v>0</v>
      </c>
      <c r="I131" s="67">
        <v>0</v>
      </c>
      <c r="J131" s="67">
        <v>0</v>
      </c>
      <c r="K131" s="67">
        <v>0</v>
      </c>
      <c r="L131" s="67">
        <v>0</v>
      </c>
      <c r="M131" s="67">
        <v>0</v>
      </c>
      <c r="N131" s="67">
        <v>0</v>
      </c>
      <c r="O131" s="67">
        <v>0</v>
      </c>
      <c r="P131" s="67">
        <v>0</v>
      </c>
      <c r="Q131" s="67">
        <v>0</v>
      </c>
      <c r="R131" s="41"/>
      <c r="S131" s="40"/>
      <c r="T131" s="41"/>
    </row>
    <row r="132" spans="1:20" s="37" customFormat="1" ht="12" x14ac:dyDescent="0.2">
      <c r="A132" s="54"/>
      <c r="B132" s="54" t="s">
        <v>111</v>
      </c>
      <c r="C132" s="54"/>
      <c r="D132" s="55" t="s">
        <v>123</v>
      </c>
      <c r="E132" s="67">
        <v>0</v>
      </c>
      <c r="F132" s="67">
        <v>0</v>
      </c>
      <c r="G132" s="67">
        <v>0</v>
      </c>
      <c r="H132" s="67">
        <v>0</v>
      </c>
      <c r="I132" s="67">
        <v>0</v>
      </c>
      <c r="J132" s="67">
        <v>0</v>
      </c>
      <c r="K132" s="67">
        <v>0</v>
      </c>
      <c r="L132" s="67">
        <v>0</v>
      </c>
      <c r="M132" s="67">
        <v>0</v>
      </c>
      <c r="N132" s="67">
        <v>0</v>
      </c>
      <c r="O132" s="67">
        <v>0</v>
      </c>
      <c r="P132" s="67">
        <v>0</v>
      </c>
      <c r="Q132" s="67">
        <v>0</v>
      </c>
      <c r="R132" s="41"/>
      <c r="S132" s="40"/>
      <c r="T132" s="41"/>
    </row>
    <row r="133" spans="1:20" s="37" customFormat="1" ht="12" x14ac:dyDescent="0.2">
      <c r="A133" s="54"/>
      <c r="B133" s="54"/>
      <c r="C133" s="54"/>
      <c r="D133" s="54" t="s">
        <v>124</v>
      </c>
      <c r="E133" s="67">
        <v>0</v>
      </c>
      <c r="F133" s="67">
        <v>0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67">
        <v>0</v>
      </c>
      <c r="M133" s="67">
        <v>0</v>
      </c>
      <c r="N133" s="67">
        <v>0</v>
      </c>
      <c r="O133" s="67">
        <v>0</v>
      </c>
      <c r="P133" s="67">
        <v>0</v>
      </c>
      <c r="Q133" s="67">
        <v>0</v>
      </c>
      <c r="R133" s="41"/>
      <c r="S133" s="40"/>
      <c r="T133" s="41"/>
    </row>
    <row r="134" spans="1:20" s="37" customFormat="1" ht="12" x14ac:dyDescent="0.2">
      <c r="A134" s="54"/>
      <c r="B134" s="54"/>
      <c r="C134" s="54" t="s">
        <v>125</v>
      </c>
      <c r="D134" s="54"/>
      <c r="E134" s="67">
        <v>0</v>
      </c>
      <c r="F134" s="67">
        <v>0</v>
      </c>
      <c r="G134" s="67">
        <v>0</v>
      </c>
      <c r="H134" s="67">
        <v>0</v>
      </c>
      <c r="I134" s="67">
        <v>0</v>
      </c>
      <c r="J134" s="67">
        <v>0</v>
      </c>
      <c r="K134" s="67">
        <v>0</v>
      </c>
      <c r="L134" s="67">
        <v>0</v>
      </c>
      <c r="M134" s="67">
        <v>0</v>
      </c>
      <c r="N134" s="67">
        <v>0</v>
      </c>
      <c r="O134" s="67">
        <v>0</v>
      </c>
      <c r="P134" s="67">
        <v>0</v>
      </c>
      <c r="Q134" s="67">
        <v>0</v>
      </c>
      <c r="R134" s="41"/>
      <c r="S134" s="40"/>
      <c r="T134" s="41"/>
    </row>
    <row r="135" spans="1:20" s="37" customFormat="1" ht="12" x14ac:dyDescent="0.2">
      <c r="A135" s="54"/>
      <c r="B135" s="54"/>
      <c r="C135" s="54"/>
      <c r="D135" s="54" t="s">
        <v>129</v>
      </c>
      <c r="E135" s="67">
        <v>0</v>
      </c>
      <c r="F135" s="67">
        <v>0</v>
      </c>
      <c r="G135" s="67">
        <v>0</v>
      </c>
      <c r="H135" s="67">
        <v>0</v>
      </c>
      <c r="I135" s="67">
        <v>0</v>
      </c>
      <c r="J135" s="67">
        <v>0</v>
      </c>
      <c r="K135" s="67">
        <v>0</v>
      </c>
      <c r="L135" s="67">
        <v>0</v>
      </c>
      <c r="M135" s="67">
        <v>0</v>
      </c>
      <c r="N135" s="67">
        <v>0</v>
      </c>
      <c r="O135" s="67">
        <v>0</v>
      </c>
      <c r="P135" s="67">
        <v>0</v>
      </c>
      <c r="Q135" s="67">
        <v>0</v>
      </c>
      <c r="R135" s="41"/>
      <c r="S135" s="40"/>
      <c r="T135" s="41"/>
    </row>
    <row r="136" spans="1:20" s="37" customFormat="1" ht="12" x14ac:dyDescent="0.2">
      <c r="A136" s="54"/>
      <c r="B136" s="54"/>
      <c r="C136" s="54"/>
      <c r="D136" s="54" t="s">
        <v>130</v>
      </c>
      <c r="E136" s="69">
        <v>0</v>
      </c>
      <c r="F136" s="69">
        <v>0</v>
      </c>
      <c r="G136" s="69">
        <v>0</v>
      </c>
      <c r="H136" s="69">
        <v>0</v>
      </c>
      <c r="I136" s="69">
        <v>0</v>
      </c>
      <c r="J136" s="69">
        <v>0</v>
      </c>
      <c r="K136" s="69">
        <v>0</v>
      </c>
      <c r="L136" s="69">
        <v>0</v>
      </c>
      <c r="M136" s="69">
        <v>0</v>
      </c>
      <c r="N136" s="69">
        <v>0</v>
      </c>
      <c r="O136" s="69">
        <v>0</v>
      </c>
      <c r="P136" s="69">
        <v>0</v>
      </c>
      <c r="Q136" s="69">
        <v>0</v>
      </c>
      <c r="R136" s="41"/>
      <c r="S136" s="40"/>
      <c r="T136" s="41"/>
    </row>
    <row r="137" spans="1:20" s="37" customFormat="1" ht="12" x14ac:dyDescent="0.2">
      <c r="A137" s="54"/>
      <c r="B137" s="54"/>
      <c r="C137" s="54"/>
      <c r="D137" s="54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39"/>
      <c r="R137" s="41"/>
      <c r="S137" s="40"/>
      <c r="T137" s="41"/>
    </row>
    <row r="138" spans="1:20" s="37" customFormat="1" ht="12" x14ac:dyDescent="0.2">
      <c r="A138" s="54"/>
      <c r="B138" s="54" t="s">
        <v>126</v>
      </c>
      <c r="C138" s="54"/>
      <c r="D138" s="54"/>
      <c r="E138" s="67">
        <f>SUM(E120:E136)</f>
        <v>10847.568247638934</v>
      </c>
      <c r="F138" s="67">
        <f>SUM(F120:F136)</f>
        <v>10847.568247638934</v>
      </c>
      <c r="G138" s="67">
        <f t="shared" ref="G138:P138" si="44">SUM(G120:G136)</f>
        <v>10847.568247638934</v>
      </c>
      <c r="H138" s="67">
        <f t="shared" si="44"/>
        <v>10847.568247638934</v>
      </c>
      <c r="I138" s="67">
        <f t="shared" si="44"/>
        <v>10847.568247638934</v>
      </c>
      <c r="J138" s="67">
        <f t="shared" si="44"/>
        <v>10847.568247638934</v>
      </c>
      <c r="K138" s="67">
        <f t="shared" si="44"/>
        <v>10847.568247638934</v>
      </c>
      <c r="L138" s="67">
        <f t="shared" si="44"/>
        <v>10847.568247638934</v>
      </c>
      <c r="M138" s="67">
        <f t="shared" si="44"/>
        <v>10847.568247638934</v>
      </c>
      <c r="N138" s="67">
        <f t="shared" si="44"/>
        <v>10847.568247638934</v>
      </c>
      <c r="O138" s="67">
        <f t="shared" si="44"/>
        <v>10847.568247638934</v>
      </c>
      <c r="P138" s="67">
        <f t="shared" si="44"/>
        <v>10847.568247638934</v>
      </c>
      <c r="Q138" s="39"/>
      <c r="R138" s="41"/>
      <c r="S138" s="40"/>
      <c r="T138" s="41"/>
    </row>
    <row r="139" spans="1:20" s="37" customFormat="1" ht="12" x14ac:dyDescent="0.2">
      <c r="A139" s="54"/>
      <c r="B139" s="54" t="s">
        <v>127</v>
      </c>
      <c r="C139" s="54"/>
      <c r="D139" s="54"/>
      <c r="E139" s="69">
        <f>'FY21'!E139</f>
        <v>0</v>
      </c>
      <c r="F139" s="69">
        <f>E141</f>
        <v>10847.568247638934</v>
      </c>
      <c r="G139" s="69">
        <f t="shared" ref="G139:P139" si="45">F141</f>
        <v>21695.136495277868</v>
      </c>
      <c r="H139" s="69">
        <f t="shared" si="45"/>
        <v>32542.704742916801</v>
      </c>
      <c r="I139" s="69">
        <f t="shared" si="45"/>
        <v>43390.272990555735</v>
      </c>
      <c r="J139" s="69">
        <f t="shared" si="45"/>
        <v>54237.841238194669</v>
      </c>
      <c r="K139" s="69">
        <f t="shared" si="45"/>
        <v>65085.409485833603</v>
      </c>
      <c r="L139" s="69">
        <f t="shared" si="45"/>
        <v>75932.977733472537</v>
      </c>
      <c r="M139" s="69">
        <f t="shared" si="45"/>
        <v>86780.545981111471</v>
      </c>
      <c r="N139" s="69">
        <f t="shared" si="45"/>
        <v>97628.114228750404</v>
      </c>
      <c r="O139" s="69">
        <f t="shared" si="45"/>
        <v>108475.68247638934</v>
      </c>
      <c r="P139" s="69">
        <f t="shared" si="45"/>
        <v>119323.25072402827</v>
      </c>
      <c r="Q139" s="39"/>
      <c r="R139" s="41"/>
      <c r="S139" s="40"/>
      <c r="T139" s="41"/>
    </row>
    <row r="140" spans="1:20" s="37" customFormat="1" ht="12" x14ac:dyDescent="0.2">
      <c r="A140" s="54"/>
      <c r="B140" s="54"/>
      <c r="C140" s="54"/>
      <c r="D140" s="54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39"/>
      <c r="R140" s="41"/>
      <c r="S140" s="40"/>
      <c r="T140" s="41"/>
    </row>
    <row r="141" spans="1:20" s="37" customFormat="1" ht="12.75" thickBot="1" x14ac:dyDescent="0.25">
      <c r="A141" s="53"/>
      <c r="B141" s="53" t="s">
        <v>128</v>
      </c>
      <c r="C141" s="53"/>
      <c r="D141" s="53"/>
      <c r="E141" s="195">
        <f t="shared" ref="E141:P141" si="46">SUM(E138:E140)</f>
        <v>10847.568247638934</v>
      </c>
      <c r="F141" s="195">
        <f t="shared" si="46"/>
        <v>21695.136495277868</v>
      </c>
      <c r="G141" s="195">
        <f t="shared" si="46"/>
        <v>32542.704742916801</v>
      </c>
      <c r="H141" s="195">
        <f t="shared" si="46"/>
        <v>43390.272990555735</v>
      </c>
      <c r="I141" s="195">
        <f t="shared" si="46"/>
        <v>54237.841238194669</v>
      </c>
      <c r="J141" s="195">
        <f t="shared" si="46"/>
        <v>65085.409485833603</v>
      </c>
      <c r="K141" s="195">
        <f t="shared" si="46"/>
        <v>75932.977733472537</v>
      </c>
      <c r="L141" s="195">
        <f t="shared" si="46"/>
        <v>86780.545981111471</v>
      </c>
      <c r="M141" s="195">
        <f t="shared" si="46"/>
        <v>97628.114228750404</v>
      </c>
      <c r="N141" s="195">
        <f t="shared" si="46"/>
        <v>108475.68247638934</v>
      </c>
      <c r="O141" s="195">
        <f t="shared" si="46"/>
        <v>119323.25072402827</v>
      </c>
      <c r="P141" s="195">
        <f t="shared" si="46"/>
        <v>130170.81897166721</v>
      </c>
      <c r="Q141" s="39"/>
      <c r="R141" s="41"/>
      <c r="S141" s="40"/>
      <c r="T141" s="41"/>
    </row>
    <row r="142" spans="1:20" s="37" customFormat="1" ht="12.75" thickTop="1" x14ac:dyDescent="0.2">
      <c r="C142" s="38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41"/>
      <c r="S142" s="40"/>
      <c r="T142" s="41"/>
    </row>
    <row r="143" spans="1:20" s="37" customFormat="1" ht="12.75" thickBot="1" x14ac:dyDescent="0.25">
      <c r="C143" s="38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41"/>
      <c r="S143" s="40"/>
      <c r="T143" s="41"/>
    </row>
    <row r="144" spans="1:20" s="37" customFormat="1" ht="12.75" thickBot="1" x14ac:dyDescent="0.25">
      <c r="C144" s="38"/>
      <c r="E144" s="729" t="s">
        <v>168</v>
      </c>
      <c r="F144" s="730"/>
      <c r="G144" s="730"/>
      <c r="H144" s="730"/>
      <c r="I144" s="730"/>
      <c r="J144" s="730"/>
      <c r="K144" s="730"/>
      <c r="L144" s="730"/>
      <c r="M144" s="730"/>
      <c r="N144" s="730"/>
      <c r="O144" s="730"/>
      <c r="P144" s="731"/>
      <c r="Q144" s="39"/>
      <c r="R144" s="41"/>
      <c r="S144" s="40"/>
      <c r="T144" s="41"/>
    </row>
    <row r="145" spans="3:20" s="37" customFormat="1" ht="12" x14ac:dyDescent="0.2">
      <c r="C145" s="38"/>
      <c r="E145" s="177" t="s">
        <v>156</v>
      </c>
      <c r="F145" s="177" t="s">
        <v>157</v>
      </c>
      <c r="G145" s="177" t="s">
        <v>158</v>
      </c>
      <c r="H145" s="177" t="s">
        <v>159</v>
      </c>
      <c r="I145" s="177" t="s">
        <v>160</v>
      </c>
      <c r="J145" s="177" t="s">
        <v>161</v>
      </c>
      <c r="K145" s="177" t="s">
        <v>162</v>
      </c>
      <c r="L145" s="177" t="s">
        <v>163</v>
      </c>
      <c r="M145" s="177" t="s">
        <v>164</v>
      </c>
      <c r="N145" s="177" t="s">
        <v>165</v>
      </c>
      <c r="O145" s="177" t="s">
        <v>166</v>
      </c>
      <c r="P145" s="177" t="s">
        <v>167</v>
      </c>
      <c r="Q145" s="39"/>
      <c r="R145" s="41"/>
      <c r="S145" s="40"/>
      <c r="T145" s="41"/>
    </row>
    <row r="146" spans="3:20" s="37" customFormat="1" ht="12" hidden="1" x14ac:dyDescent="0.2">
      <c r="C146" s="38"/>
      <c r="D146" s="201" t="s">
        <v>63</v>
      </c>
      <c r="E146" s="178">
        <f>'Rev &amp; Enroll'!Q10</f>
        <v>0</v>
      </c>
      <c r="F146" s="178">
        <f>'Rev &amp; Enroll'!R10</f>
        <v>0</v>
      </c>
      <c r="G146" s="178">
        <f>'Rev &amp; Enroll'!S10</f>
        <v>0</v>
      </c>
      <c r="H146" s="178">
        <f>'Rev &amp; Enroll'!T10</f>
        <v>0</v>
      </c>
      <c r="I146" s="178">
        <f>'Rev &amp; Enroll'!U10</f>
        <v>0</v>
      </c>
      <c r="J146" s="178">
        <f>'Rev &amp; Enroll'!V10</f>
        <v>0</v>
      </c>
      <c r="K146" s="178">
        <f>'Rev &amp; Enroll'!W10</f>
        <v>0</v>
      </c>
      <c r="L146" s="178">
        <f>'Rev &amp; Enroll'!X10</f>
        <v>0</v>
      </c>
      <c r="M146" s="178">
        <f>'Rev &amp; Enroll'!Y10</f>
        <v>0</v>
      </c>
      <c r="N146" s="178">
        <f>'Rev &amp; Enroll'!Z10</f>
        <v>0</v>
      </c>
      <c r="O146" s="178">
        <f>'Rev &amp; Enroll'!AA10</f>
        <v>0</v>
      </c>
      <c r="P146" s="178">
        <f>'Rev &amp; Enroll'!AB10</f>
        <v>0</v>
      </c>
      <c r="Q146" s="39"/>
      <c r="R146" s="41"/>
      <c r="S146" s="40"/>
      <c r="T146" s="41"/>
    </row>
    <row r="147" spans="3:20" s="37" customFormat="1" ht="12" hidden="1" x14ac:dyDescent="0.2">
      <c r="C147" s="38"/>
      <c r="D147" s="201" t="s">
        <v>64</v>
      </c>
      <c r="E147" s="178">
        <f>'Rev &amp; Enroll'!Q11</f>
        <v>0</v>
      </c>
      <c r="F147" s="178">
        <f>'Rev &amp; Enroll'!R11</f>
        <v>0</v>
      </c>
      <c r="G147" s="178">
        <f>'Rev &amp; Enroll'!S11</f>
        <v>0</v>
      </c>
      <c r="H147" s="178">
        <f>'Rev &amp; Enroll'!T11</f>
        <v>0</v>
      </c>
      <c r="I147" s="178">
        <f>'Rev &amp; Enroll'!U11</f>
        <v>0</v>
      </c>
      <c r="J147" s="178">
        <f>'Rev &amp; Enroll'!V11</f>
        <v>0</v>
      </c>
      <c r="K147" s="178">
        <f>'Rev &amp; Enroll'!W11</f>
        <v>0</v>
      </c>
      <c r="L147" s="178">
        <f>'Rev &amp; Enroll'!X11</f>
        <v>0</v>
      </c>
      <c r="M147" s="178">
        <f>'Rev &amp; Enroll'!Y11</f>
        <v>0</v>
      </c>
      <c r="N147" s="178">
        <f>'Rev &amp; Enroll'!Z11</f>
        <v>0</v>
      </c>
      <c r="O147" s="178">
        <f>'Rev &amp; Enroll'!AA11</f>
        <v>0</v>
      </c>
      <c r="P147" s="178">
        <f>'Rev &amp; Enroll'!AB11</f>
        <v>0</v>
      </c>
      <c r="Q147" s="39"/>
      <c r="R147" s="41"/>
      <c r="S147" s="40"/>
      <c r="T147" s="41"/>
    </row>
    <row r="148" spans="3:20" s="37" customFormat="1" ht="12" hidden="1" x14ac:dyDescent="0.2">
      <c r="C148" s="38"/>
      <c r="D148" s="201">
        <v>1</v>
      </c>
      <c r="E148" s="178">
        <f>'Rev &amp; Enroll'!Q12</f>
        <v>0</v>
      </c>
      <c r="F148" s="178">
        <f>'Rev &amp; Enroll'!R12</f>
        <v>0</v>
      </c>
      <c r="G148" s="178">
        <f>'Rev &amp; Enroll'!S12</f>
        <v>0</v>
      </c>
      <c r="H148" s="178">
        <f>'Rev &amp; Enroll'!T12</f>
        <v>0</v>
      </c>
      <c r="I148" s="178">
        <f>'Rev &amp; Enroll'!U12</f>
        <v>0</v>
      </c>
      <c r="J148" s="178">
        <f>'Rev &amp; Enroll'!V12</f>
        <v>0</v>
      </c>
      <c r="K148" s="178">
        <f>'Rev &amp; Enroll'!W12</f>
        <v>0</v>
      </c>
      <c r="L148" s="178">
        <f>'Rev &amp; Enroll'!X12</f>
        <v>0</v>
      </c>
      <c r="M148" s="178">
        <f>'Rev &amp; Enroll'!Y12</f>
        <v>0</v>
      </c>
      <c r="N148" s="178">
        <f>'Rev &amp; Enroll'!Z12</f>
        <v>0</v>
      </c>
      <c r="O148" s="178">
        <f>'Rev &amp; Enroll'!AA12</f>
        <v>0</v>
      </c>
      <c r="P148" s="178">
        <f>'Rev &amp; Enroll'!AB12</f>
        <v>0</v>
      </c>
      <c r="Q148" s="39"/>
      <c r="R148" s="41"/>
      <c r="S148" s="40"/>
      <c r="T148" s="41"/>
    </row>
    <row r="149" spans="3:20" s="37" customFormat="1" ht="12" hidden="1" x14ac:dyDescent="0.2">
      <c r="C149" s="38"/>
      <c r="D149" s="201">
        <v>2</v>
      </c>
      <c r="E149" s="178">
        <f>'Rev &amp; Enroll'!Q13</f>
        <v>0</v>
      </c>
      <c r="F149" s="178">
        <f>'Rev &amp; Enroll'!R13</f>
        <v>0</v>
      </c>
      <c r="G149" s="178">
        <f>'Rev &amp; Enroll'!S13</f>
        <v>0</v>
      </c>
      <c r="H149" s="178">
        <f>'Rev &amp; Enroll'!T13</f>
        <v>0</v>
      </c>
      <c r="I149" s="178">
        <f>'Rev &amp; Enroll'!U13</f>
        <v>0</v>
      </c>
      <c r="J149" s="178">
        <f>'Rev &amp; Enroll'!V13</f>
        <v>0</v>
      </c>
      <c r="K149" s="178">
        <f>'Rev &amp; Enroll'!W13</f>
        <v>0</v>
      </c>
      <c r="L149" s="178">
        <f>'Rev &amp; Enroll'!X13</f>
        <v>0</v>
      </c>
      <c r="M149" s="178">
        <f>'Rev &amp; Enroll'!Y13</f>
        <v>0</v>
      </c>
      <c r="N149" s="178">
        <f>'Rev &amp; Enroll'!Z13</f>
        <v>0</v>
      </c>
      <c r="O149" s="178">
        <f>'Rev &amp; Enroll'!AA13</f>
        <v>0</v>
      </c>
      <c r="P149" s="178">
        <f>'Rev &amp; Enroll'!AB13</f>
        <v>0</v>
      </c>
      <c r="Q149" s="39"/>
      <c r="R149" s="41"/>
      <c r="S149" s="40"/>
      <c r="T149" s="41"/>
    </row>
    <row r="150" spans="3:20" s="37" customFormat="1" ht="12" hidden="1" x14ac:dyDescent="0.2">
      <c r="C150" s="38"/>
      <c r="D150" s="201">
        <v>3</v>
      </c>
      <c r="E150" s="178">
        <f>'Rev &amp; Enroll'!Q14</f>
        <v>0</v>
      </c>
      <c r="F150" s="178">
        <f>'Rev &amp; Enroll'!R14</f>
        <v>0</v>
      </c>
      <c r="G150" s="178">
        <f>'Rev &amp; Enroll'!S14</f>
        <v>0</v>
      </c>
      <c r="H150" s="178">
        <f>'Rev &amp; Enroll'!T14</f>
        <v>0</v>
      </c>
      <c r="I150" s="178">
        <f>'Rev &amp; Enroll'!U14</f>
        <v>0</v>
      </c>
      <c r="J150" s="178">
        <f>'Rev &amp; Enroll'!V14</f>
        <v>0</v>
      </c>
      <c r="K150" s="178">
        <f>'Rev &amp; Enroll'!W14</f>
        <v>0</v>
      </c>
      <c r="L150" s="178">
        <f>'Rev &amp; Enroll'!X14</f>
        <v>0</v>
      </c>
      <c r="M150" s="178">
        <f>'Rev &amp; Enroll'!Y14</f>
        <v>0</v>
      </c>
      <c r="N150" s="178">
        <f>'Rev &amp; Enroll'!Z14</f>
        <v>0</v>
      </c>
      <c r="O150" s="178">
        <f>'Rev &amp; Enroll'!AA14</f>
        <v>0</v>
      </c>
      <c r="P150" s="178">
        <f>'Rev &amp; Enroll'!AB14</f>
        <v>0</v>
      </c>
      <c r="Q150" s="39"/>
      <c r="R150" s="41"/>
      <c r="S150" s="40"/>
      <c r="T150" s="41"/>
    </row>
    <row r="151" spans="3:20" s="37" customFormat="1" ht="12" hidden="1" x14ac:dyDescent="0.2">
      <c r="C151" s="38"/>
      <c r="D151" s="201">
        <v>4</v>
      </c>
      <c r="E151" s="178">
        <f>'Rev &amp; Enroll'!Q15</f>
        <v>0</v>
      </c>
      <c r="F151" s="178">
        <f>'Rev &amp; Enroll'!R15</f>
        <v>0</v>
      </c>
      <c r="G151" s="178">
        <f>'Rev &amp; Enroll'!S15</f>
        <v>0</v>
      </c>
      <c r="H151" s="178">
        <f>'Rev &amp; Enroll'!T15</f>
        <v>0</v>
      </c>
      <c r="I151" s="178">
        <f>'Rev &amp; Enroll'!U15</f>
        <v>0</v>
      </c>
      <c r="J151" s="178">
        <f>'Rev &amp; Enroll'!V15</f>
        <v>0</v>
      </c>
      <c r="K151" s="178">
        <f>'Rev &amp; Enroll'!W15</f>
        <v>0</v>
      </c>
      <c r="L151" s="178">
        <f>'Rev &amp; Enroll'!X15</f>
        <v>0</v>
      </c>
      <c r="M151" s="178">
        <f>'Rev &amp; Enroll'!Y15</f>
        <v>0</v>
      </c>
      <c r="N151" s="178">
        <f>'Rev &amp; Enroll'!Z15</f>
        <v>0</v>
      </c>
      <c r="O151" s="178">
        <f>'Rev &amp; Enroll'!AA15</f>
        <v>0</v>
      </c>
      <c r="P151" s="178">
        <f>'Rev &amp; Enroll'!AB15</f>
        <v>0</v>
      </c>
      <c r="Q151" s="39"/>
      <c r="R151" s="41"/>
      <c r="S151" s="40"/>
      <c r="T151" s="41"/>
    </row>
    <row r="152" spans="3:20" s="37" customFormat="1" ht="12" hidden="1" x14ac:dyDescent="0.2">
      <c r="C152" s="38"/>
      <c r="D152" s="201">
        <v>5</v>
      </c>
      <c r="E152" s="178">
        <f>'Rev &amp; Enroll'!Q16</f>
        <v>0</v>
      </c>
      <c r="F152" s="178">
        <f>'Rev &amp; Enroll'!R16</f>
        <v>0</v>
      </c>
      <c r="G152" s="178">
        <f>'Rev &amp; Enroll'!S16</f>
        <v>0</v>
      </c>
      <c r="H152" s="178">
        <f>'Rev &amp; Enroll'!T16</f>
        <v>0</v>
      </c>
      <c r="I152" s="178">
        <f>'Rev &amp; Enroll'!U16</f>
        <v>0</v>
      </c>
      <c r="J152" s="178">
        <f>'Rev &amp; Enroll'!V16</f>
        <v>0</v>
      </c>
      <c r="K152" s="178">
        <f>'Rev &amp; Enroll'!W16</f>
        <v>0</v>
      </c>
      <c r="L152" s="178">
        <f>'Rev &amp; Enroll'!X16</f>
        <v>0</v>
      </c>
      <c r="M152" s="178">
        <f>'Rev &amp; Enroll'!Y16</f>
        <v>0</v>
      </c>
      <c r="N152" s="178">
        <f>'Rev &amp; Enroll'!Z16</f>
        <v>0</v>
      </c>
      <c r="O152" s="178">
        <f>'Rev &amp; Enroll'!AA16</f>
        <v>0</v>
      </c>
      <c r="P152" s="178">
        <f>'Rev &amp; Enroll'!AB16</f>
        <v>0</v>
      </c>
      <c r="Q152" s="39"/>
      <c r="R152" s="41"/>
      <c r="S152" s="40"/>
      <c r="T152" s="41"/>
    </row>
    <row r="153" spans="3:20" s="37" customFormat="1" ht="12" hidden="1" x14ac:dyDescent="0.2">
      <c r="C153" s="38"/>
      <c r="D153" s="201">
        <v>6</v>
      </c>
      <c r="E153" s="178">
        <f>'Rev &amp; Enroll'!Q17</f>
        <v>0</v>
      </c>
      <c r="F153" s="178">
        <f>'Rev &amp; Enroll'!R17</f>
        <v>0</v>
      </c>
      <c r="G153" s="178">
        <f>'Rev &amp; Enroll'!S17</f>
        <v>0</v>
      </c>
      <c r="H153" s="178">
        <f>'Rev &amp; Enroll'!T17</f>
        <v>0</v>
      </c>
      <c r="I153" s="178">
        <f>'Rev &amp; Enroll'!U17</f>
        <v>0</v>
      </c>
      <c r="J153" s="178">
        <f>'Rev &amp; Enroll'!V17</f>
        <v>0</v>
      </c>
      <c r="K153" s="178">
        <f>'Rev &amp; Enroll'!W17</f>
        <v>0</v>
      </c>
      <c r="L153" s="178">
        <f>'Rev &amp; Enroll'!X17</f>
        <v>0</v>
      </c>
      <c r="M153" s="178">
        <f>'Rev &amp; Enroll'!Y17</f>
        <v>0</v>
      </c>
      <c r="N153" s="178">
        <f>'Rev &amp; Enroll'!Z17</f>
        <v>0</v>
      </c>
      <c r="O153" s="178">
        <f>'Rev &amp; Enroll'!AA17</f>
        <v>0</v>
      </c>
      <c r="P153" s="178">
        <f>'Rev &amp; Enroll'!AB17</f>
        <v>0</v>
      </c>
      <c r="Q153" s="39"/>
      <c r="R153" s="41"/>
      <c r="S153" s="40"/>
      <c r="T153" s="41"/>
    </row>
    <row r="154" spans="3:20" s="37" customFormat="1" ht="12" hidden="1" x14ac:dyDescent="0.2">
      <c r="C154" s="38"/>
      <c r="D154" s="201">
        <v>7</v>
      </c>
      <c r="E154" s="178">
        <f>'Rev &amp; Enroll'!Q18</f>
        <v>0</v>
      </c>
      <c r="F154" s="178">
        <f>'Rev &amp; Enroll'!R18</f>
        <v>0</v>
      </c>
      <c r="G154" s="178">
        <f>'Rev &amp; Enroll'!S18</f>
        <v>0</v>
      </c>
      <c r="H154" s="178">
        <f>'Rev &amp; Enroll'!T18</f>
        <v>0</v>
      </c>
      <c r="I154" s="178">
        <f>'Rev &amp; Enroll'!U18</f>
        <v>0</v>
      </c>
      <c r="J154" s="178">
        <f>'Rev &amp; Enroll'!V18</f>
        <v>0</v>
      </c>
      <c r="K154" s="178">
        <f>'Rev &amp; Enroll'!W18</f>
        <v>0</v>
      </c>
      <c r="L154" s="178">
        <f>'Rev &amp; Enroll'!X18</f>
        <v>0</v>
      </c>
      <c r="M154" s="178">
        <f>'Rev &amp; Enroll'!Y18</f>
        <v>0</v>
      </c>
      <c r="N154" s="178">
        <f>'Rev &amp; Enroll'!Z18</f>
        <v>0</v>
      </c>
      <c r="O154" s="178">
        <f>'Rev &amp; Enroll'!AA18</f>
        <v>0</v>
      </c>
      <c r="P154" s="178">
        <f>'Rev &amp; Enroll'!AB18</f>
        <v>0</v>
      </c>
      <c r="Q154" s="39"/>
      <c r="R154" s="41"/>
      <c r="S154" s="40"/>
      <c r="T154" s="41"/>
    </row>
    <row r="155" spans="3:20" s="37" customFormat="1" ht="12" hidden="1" x14ac:dyDescent="0.2">
      <c r="C155" s="38"/>
      <c r="D155" s="201">
        <v>8</v>
      </c>
      <c r="E155" s="178">
        <f>'Rev &amp; Enroll'!Q19</f>
        <v>0</v>
      </c>
      <c r="F155" s="178">
        <f>'Rev &amp; Enroll'!R19</f>
        <v>0</v>
      </c>
      <c r="G155" s="178">
        <f>'Rev &amp; Enroll'!S19</f>
        <v>0</v>
      </c>
      <c r="H155" s="178">
        <f>'Rev &amp; Enroll'!T19</f>
        <v>0</v>
      </c>
      <c r="I155" s="178">
        <f>'Rev &amp; Enroll'!U19</f>
        <v>0</v>
      </c>
      <c r="J155" s="178">
        <f>'Rev &amp; Enroll'!V19</f>
        <v>0</v>
      </c>
      <c r="K155" s="178">
        <f>'Rev &amp; Enroll'!W19</f>
        <v>0</v>
      </c>
      <c r="L155" s="178">
        <f>'Rev &amp; Enroll'!X19</f>
        <v>0</v>
      </c>
      <c r="M155" s="178">
        <f>'Rev &amp; Enroll'!Y19</f>
        <v>0</v>
      </c>
      <c r="N155" s="178">
        <f>'Rev &amp; Enroll'!Z19</f>
        <v>0</v>
      </c>
      <c r="O155" s="178">
        <f>'Rev &amp; Enroll'!AA19</f>
        <v>0</v>
      </c>
      <c r="P155" s="178">
        <f>'Rev &amp; Enroll'!AB19</f>
        <v>0</v>
      </c>
      <c r="Q155" s="39"/>
      <c r="R155" s="41"/>
      <c r="S155" s="40"/>
      <c r="T155" s="41"/>
    </row>
    <row r="156" spans="3:20" s="37" customFormat="1" ht="12" hidden="1" x14ac:dyDescent="0.2">
      <c r="C156" s="38"/>
      <c r="D156" s="201">
        <v>9</v>
      </c>
      <c r="E156" s="178">
        <f>'Rev &amp; Enroll'!Q20</f>
        <v>0</v>
      </c>
      <c r="F156" s="178">
        <f>'Rev &amp; Enroll'!R20</f>
        <v>0</v>
      </c>
      <c r="G156" s="178">
        <f>'Rev &amp; Enroll'!S20</f>
        <v>0</v>
      </c>
      <c r="H156" s="178">
        <f>'Rev &amp; Enroll'!T20</f>
        <v>0</v>
      </c>
      <c r="I156" s="178">
        <f>'Rev &amp; Enroll'!U20</f>
        <v>0</v>
      </c>
      <c r="J156" s="178">
        <f>'Rev &amp; Enroll'!V20</f>
        <v>0</v>
      </c>
      <c r="K156" s="178">
        <f>'Rev &amp; Enroll'!W20</f>
        <v>0</v>
      </c>
      <c r="L156" s="178">
        <f>'Rev &amp; Enroll'!X20</f>
        <v>0</v>
      </c>
      <c r="M156" s="178">
        <f>'Rev &amp; Enroll'!Y20</f>
        <v>0</v>
      </c>
      <c r="N156" s="178">
        <f>'Rev &amp; Enroll'!Z20</f>
        <v>0</v>
      </c>
      <c r="O156" s="178">
        <f>'Rev &amp; Enroll'!AA20</f>
        <v>0</v>
      </c>
      <c r="P156" s="178">
        <f>'Rev &amp; Enroll'!AB20</f>
        <v>0</v>
      </c>
      <c r="Q156" s="39"/>
      <c r="R156" s="41"/>
      <c r="S156" s="40"/>
      <c r="T156" s="41"/>
    </row>
    <row r="157" spans="3:20" s="37" customFormat="1" ht="12" hidden="1" x14ac:dyDescent="0.2">
      <c r="C157" s="38"/>
      <c r="D157" s="201">
        <v>10</v>
      </c>
      <c r="E157" s="178">
        <f>'Rev &amp; Enroll'!Q21</f>
        <v>0</v>
      </c>
      <c r="F157" s="178">
        <f>'Rev &amp; Enroll'!R21</f>
        <v>0</v>
      </c>
      <c r="G157" s="178">
        <f>'Rev &amp; Enroll'!S21</f>
        <v>0</v>
      </c>
      <c r="H157" s="178">
        <f>'Rev &amp; Enroll'!T21</f>
        <v>0</v>
      </c>
      <c r="I157" s="178">
        <f>'Rev &amp; Enroll'!U21</f>
        <v>0</v>
      </c>
      <c r="J157" s="178">
        <f>'Rev &amp; Enroll'!V21</f>
        <v>0</v>
      </c>
      <c r="K157" s="178">
        <f>'Rev &amp; Enroll'!W21</f>
        <v>0</v>
      </c>
      <c r="L157" s="178">
        <f>'Rev &amp; Enroll'!X21</f>
        <v>0</v>
      </c>
      <c r="M157" s="178">
        <f>'Rev &amp; Enroll'!Y21</f>
        <v>0</v>
      </c>
      <c r="N157" s="178">
        <f>'Rev &amp; Enroll'!Z21</f>
        <v>0</v>
      </c>
      <c r="O157" s="178">
        <f>'Rev &amp; Enroll'!AA21</f>
        <v>0</v>
      </c>
      <c r="P157" s="178">
        <f>'Rev &amp; Enroll'!AB21</f>
        <v>0</v>
      </c>
      <c r="Q157" s="39"/>
      <c r="R157" s="41"/>
      <c r="S157" s="40"/>
      <c r="T157" s="41"/>
    </row>
    <row r="158" spans="3:20" s="37" customFormat="1" ht="12" x14ac:dyDescent="0.2">
      <c r="C158" s="38"/>
      <c r="D158" s="201">
        <v>11</v>
      </c>
      <c r="E158" s="178">
        <v>365</v>
      </c>
      <c r="F158" s="178">
        <v>365</v>
      </c>
      <c r="G158" s="178">
        <v>365</v>
      </c>
      <c r="H158" s="178">
        <v>365</v>
      </c>
      <c r="I158" s="178">
        <v>365</v>
      </c>
      <c r="J158" s="178">
        <v>365</v>
      </c>
      <c r="K158" s="178">
        <v>365</v>
      </c>
      <c r="L158" s="178">
        <v>365</v>
      </c>
      <c r="M158" s="178">
        <v>365</v>
      </c>
      <c r="N158" s="178">
        <v>365</v>
      </c>
      <c r="O158" s="178">
        <v>365</v>
      </c>
      <c r="P158" s="178">
        <v>365</v>
      </c>
      <c r="Q158" s="39"/>
      <c r="R158" s="41"/>
      <c r="S158" s="40"/>
      <c r="T158" s="41"/>
    </row>
    <row r="159" spans="3:20" s="37" customFormat="1" ht="12" x14ac:dyDescent="0.2">
      <c r="C159" s="38"/>
      <c r="D159" s="201">
        <v>12</v>
      </c>
      <c r="E159" s="178">
        <v>385</v>
      </c>
      <c r="F159" s="178">
        <v>385</v>
      </c>
      <c r="G159" s="178">
        <v>385</v>
      </c>
      <c r="H159" s="178">
        <v>385</v>
      </c>
      <c r="I159" s="178">
        <v>385</v>
      </c>
      <c r="J159" s="178">
        <v>385</v>
      </c>
      <c r="K159" s="178">
        <v>385</v>
      </c>
      <c r="L159" s="178">
        <v>385</v>
      </c>
      <c r="M159" s="178">
        <v>385</v>
      </c>
      <c r="N159" s="178">
        <v>385</v>
      </c>
      <c r="O159" s="178">
        <v>385</v>
      </c>
      <c r="P159" s="178">
        <v>385</v>
      </c>
      <c r="Q159" s="200" t="s">
        <v>183</v>
      </c>
      <c r="R159" s="41"/>
      <c r="S159" s="40"/>
      <c r="T159" s="41"/>
    </row>
    <row r="160" spans="3:20" s="37" customFormat="1" ht="12" x14ac:dyDescent="0.2">
      <c r="C160" s="38"/>
      <c r="D160" s="202" t="s">
        <v>66</v>
      </c>
      <c r="E160" s="179">
        <f t="shared" ref="E160:P160" si="47">SUM(E146:E159)</f>
        <v>750</v>
      </c>
      <c r="F160" s="179">
        <f t="shared" si="47"/>
        <v>750</v>
      </c>
      <c r="G160" s="179">
        <f t="shared" si="47"/>
        <v>750</v>
      </c>
      <c r="H160" s="179">
        <f t="shared" si="47"/>
        <v>750</v>
      </c>
      <c r="I160" s="179">
        <f t="shared" si="47"/>
        <v>750</v>
      </c>
      <c r="J160" s="179">
        <f t="shared" si="47"/>
        <v>750</v>
      </c>
      <c r="K160" s="179">
        <f t="shared" si="47"/>
        <v>750</v>
      </c>
      <c r="L160" s="179">
        <f t="shared" si="47"/>
        <v>750</v>
      </c>
      <c r="M160" s="179">
        <f t="shared" si="47"/>
        <v>750</v>
      </c>
      <c r="N160" s="179">
        <f t="shared" si="47"/>
        <v>750</v>
      </c>
      <c r="O160" s="179">
        <f t="shared" si="47"/>
        <v>750</v>
      </c>
      <c r="P160" s="179">
        <f t="shared" si="47"/>
        <v>750</v>
      </c>
      <c r="Q160" s="200">
        <f>AVERAGE(E160:P160)</f>
        <v>750</v>
      </c>
      <c r="R160" s="41"/>
      <c r="S160" s="40"/>
      <c r="T160" s="41"/>
    </row>
    <row r="161" spans="3:20" s="37" customFormat="1" ht="12" x14ac:dyDescent="0.2">
      <c r="C161" s="38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41"/>
      <c r="S161" s="40"/>
      <c r="T161" s="41"/>
    </row>
    <row r="162" spans="3:20" s="37" customFormat="1" ht="12" x14ac:dyDescent="0.2">
      <c r="C162" s="38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41"/>
      <c r="S162" s="40"/>
      <c r="T162" s="41"/>
    </row>
    <row r="163" spans="3:20" s="37" customFormat="1" ht="12" x14ac:dyDescent="0.2">
      <c r="C163" s="38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41"/>
      <c r="S163" s="40"/>
      <c r="T163" s="41"/>
    </row>
    <row r="164" spans="3:20" s="37" customFormat="1" ht="12" x14ac:dyDescent="0.2">
      <c r="C164" s="38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41"/>
      <c r="S164" s="40"/>
      <c r="T164" s="41"/>
    </row>
    <row r="165" spans="3:20" s="37" customFormat="1" ht="12" x14ac:dyDescent="0.2">
      <c r="C165" s="38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41"/>
      <c r="S165" s="40"/>
      <c r="T165" s="41"/>
    </row>
    <row r="166" spans="3:20" s="37" customFormat="1" ht="12" x14ac:dyDescent="0.2">
      <c r="C166" s="38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41"/>
      <c r="S166" s="40"/>
      <c r="T166" s="41"/>
    </row>
    <row r="167" spans="3:20" s="37" customFormat="1" ht="12" x14ac:dyDescent="0.2">
      <c r="C167" s="38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41"/>
      <c r="S167" s="40"/>
      <c r="T167" s="41"/>
    </row>
    <row r="168" spans="3:20" s="37" customFormat="1" ht="12" x14ac:dyDescent="0.2">
      <c r="C168" s="38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41"/>
      <c r="S168" s="40"/>
      <c r="T168" s="41"/>
    </row>
    <row r="169" spans="3:20" s="37" customFormat="1" ht="12" x14ac:dyDescent="0.2">
      <c r="C169" s="38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41"/>
      <c r="S169" s="40"/>
      <c r="T169" s="41"/>
    </row>
    <row r="170" spans="3:20" s="37" customFormat="1" ht="12" x14ac:dyDescent="0.2">
      <c r="C170" s="38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41"/>
      <c r="S170" s="40"/>
      <c r="T170" s="41"/>
    </row>
    <row r="171" spans="3:20" s="37" customFormat="1" ht="12" x14ac:dyDescent="0.2">
      <c r="C171" s="38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41"/>
      <c r="S171" s="40"/>
      <c r="T171" s="41"/>
    </row>
    <row r="172" spans="3:20" s="37" customFormat="1" ht="12" x14ac:dyDescent="0.2">
      <c r="C172" s="38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41"/>
      <c r="S172" s="40"/>
      <c r="T172" s="41"/>
    </row>
    <row r="173" spans="3:20" s="37" customFormat="1" ht="12" x14ac:dyDescent="0.2">
      <c r="C173" s="38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41"/>
      <c r="S173" s="40"/>
      <c r="T173" s="41"/>
    </row>
    <row r="174" spans="3:20" s="37" customFormat="1" ht="12" x14ac:dyDescent="0.2">
      <c r="C174" s="38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41"/>
      <c r="S174" s="40"/>
      <c r="T174" s="41"/>
    </row>
    <row r="175" spans="3:20" s="37" customFormat="1" ht="12" x14ac:dyDescent="0.2">
      <c r="C175" s="38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41"/>
      <c r="S175" s="40"/>
      <c r="T175" s="41"/>
    </row>
    <row r="176" spans="3:20" s="37" customFormat="1" ht="12" x14ac:dyDescent="0.2">
      <c r="C176" s="38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41"/>
      <c r="S176" s="40"/>
      <c r="T176" s="41"/>
    </row>
    <row r="177" spans="3:20" s="37" customFormat="1" ht="12" x14ac:dyDescent="0.2">
      <c r="C177" s="38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41"/>
      <c r="S177" s="40"/>
      <c r="T177" s="41"/>
    </row>
    <row r="178" spans="3:20" s="37" customFormat="1" ht="12" x14ac:dyDescent="0.2">
      <c r="C178" s="38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41"/>
      <c r="S178" s="40"/>
      <c r="T178" s="41"/>
    </row>
    <row r="179" spans="3:20" s="37" customFormat="1" ht="12" x14ac:dyDescent="0.2">
      <c r="C179" s="38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41"/>
      <c r="S179" s="40"/>
      <c r="T179" s="41"/>
    </row>
    <row r="180" spans="3:20" s="37" customFormat="1" ht="12" x14ac:dyDescent="0.2">
      <c r="C180" s="38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41"/>
      <c r="S180" s="40"/>
      <c r="T180" s="41"/>
    </row>
    <row r="181" spans="3:20" s="37" customFormat="1" ht="12" x14ac:dyDescent="0.2">
      <c r="C181" s="38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41"/>
      <c r="S181" s="40"/>
      <c r="T181" s="41"/>
    </row>
    <row r="182" spans="3:20" s="37" customFormat="1" ht="12" x14ac:dyDescent="0.2">
      <c r="C182" s="38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41"/>
      <c r="S182" s="40"/>
      <c r="T182" s="41"/>
    </row>
    <row r="183" spans="3:20" s="37" customFormat="1" ht="12" x14ac:dyDescent="0.2">
      <c r="C183" s="38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41"/>
      <c r="S183" s="40"/>
      <c r="T183" s="41"/>
    </row>
    <row r="184" spans="3:20" s="37" customFormat="1" ht="12" x14ac:dyDescent="0.2">
      <c r="C184" s="38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41"/>
      <c r="S184" s="40"/>
      <c r="T184" s="41"/>
    </row>
    <row r="185" spans="3:20" s="37" customFormat="1" ht="12" x14ac:dyDescent="0.2">
      <c r="C185" s="38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41"/>
      <c r="S185" s="40"/>
      <c r="T185" s="41"/>
    </row>
    <row r="186" spans="3:20" s="37" customFormat="1" ht="12" x14ac:dyDescent="0.2">
      <c r="C186" s="38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41"/>
      <c r="S186" s="40"/>
      <c r="T186" s="41"/>
    </row>
    <row r="187" spans="3:20" s="37" customFormat="1" ht="12" x14ac:dyDescent="0.2">
      <c r="C187" s="38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41"/>
      <c r="S187" s="40"/>
      <c r="T187" s="41"/>
    </row>
    <row r="188" spans="3:20" s="37" customFormat="1" ht="12" x14ac:dyDescent="0.2">
      <c r="C188" s="38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41"/>
      <c r="S188" s="40"/>
      <c r="T188" s="41"/>
    </row>
    <row r="189" spans="3:20" s="37" customFormat="1" ht="12" x14ac:dyDescent="0.2">
      <c r="C189" s="38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41"/>
      <c r="S189" s="40"/>
      <c r="T189" s="41"/>
    </row>
    <row r="190" spans="3:20" s="37" customFormat="1" ht="12" x14ac:dyDescent="0.2">
      <c r="C190" s="38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41"/>
      <c r="S190" s="40"/>
      <c r="T190" s="41"/>
    </row>
    <row r="191" spans="3:20" s="37" customFormat="1" ht="12" x14ac:dyDescent="0.2">
      <c r="C191" s="38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41"/>
      <c r="S191" s="40"/>
      <c r="T191" s="41"/>
    </row>
    <row r="192" spans="3:20" s="37" customFormat="1" ht="12" x14ac:dyDescent="0.2">
      <c r="C192" s="38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41"/>
      <c r="S192" s="40"/>
      <c r="T192" s="41"/>
    </row>
    <row r="193" spans="3:20" s="37" customFormat="1" ht="12" x14ac:dyDescent="0.2">
      <c r="C193" s="38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41"/>
      <c r="S193" s="40"/>
      <c r="T193" s="41"/>
    </row>
    <row r="194" spans="3:20" s="37" customFormat="1" ht="12" x14ac:dyDescent="0.2">
      <c r="C194" s="38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41"/>
      <c r="S194" s="40"/>
      <c r="T194" s="41"/>
    </row>
    <row r="195" spans="3:20" s="37" customFormat="1" ht="12" x14ac:dyDescent="0.2">
      <c r="C195" s="38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41"/>
      <c r="S195" s="40"/>
      <c r="T195" s="41"/>
    </row>
    <row r="196" spans="3:20" s="37" customFormat="1" ht="12" x14ac:dyDescent="0.2">
      <c r="C196" s="38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41"/>
      <c r="S196" s="40"/>
      <c r="T196" s="41"/>
    </row>
    <row r="197" spans="3:20" s="37" customFormat="1" ht="12" x14ac:dyDescent="0.2">
      <c r="C197" s="38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41"/>
      <c r="S197" s="40"/>
      <c r="T197" s="41"/>
    </row>
    <row r="198" spans="3:20" s="37" customFormat="1" ht="12" x14ac:dyDescent="0.2">
      <c r="C198" s="38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41"/>
      <c r="S198" s="40"/>
      <c r="T198" s="41"/>
    </row>
    <row r="199" spans="3:20" s="37" customFormat="1" ht="12" x14ac:dyDescent="0.2">
      <c r="C199" s="38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41"/>
      <c r="S199" s="40"/>
      <c r="T199" s="41"/>
    </row>
    <row r="200" spans="3:20" s="37" customFormat="1" ht="12" x14ac:dyDescent="0.2">
      <c r="C200" s="38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41"/>
      <c r="S200" s="40"/>
      <c r="T200" s="41"/>
    </row>
    <row r="201" spans="3:20" s="37" customFormat="1" ht="12" x14ac:dyDescent="0.2">
      <c r="C201" s="38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41"/>
      <c r="S201" s="40"/>
      <c r="T201" s="41"/>
    </row>
    <row r="202" spans="3:20" s="37" customFormat="1" ht="12" x14ac:dyDescent="0.2">
      <c r="C202" s="38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41"/>
      <c r="S202" s="40"/>
      <c r="T202" s="41"/>
    </row>
    <row r="203" spans="3:20" s="37" customFormat="1" ht="12" x14ac:dyDescent="0.2">
      <c r="C203" s="38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41"/>
      <c r="S203" s="40"/>
      <c r="T203" s="41"/>
    </row>
    <row r="204" spans="3:20" s="37" customFormat="1" ht="12" x14ac:dyDescent="0.2">
      <c r="C204" s="38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41"/>
      <c r="S204" s="40"/>
      <c r="T204" s="41"/>
    </row>
    <row r="205" spans="3:20" s="37" customFormat="1" ht="12" x14ac:dyDescent="0.2">
      <c r="C205" s="38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41"/>
      <c r="S205" s="40"/>
      <c r="T205" s="41"/>
    </row>
    <row r="206" spans="3:20" s="37" customFormat="1" ht="12" x14ac:dyDescent="0.2">
      <c r="C206" s="38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41"/>
      <c r="S206" s="40"/>
      <c r="T206" s="41"/>
    </row>
    <row r="207" spans="3:20" s="37" customFormat="1" ht="12" x14ac:dyDescent="0.2">
      <c r="C207" s="38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41"/>
      <c r="S207" s="40"/>
      <c r="T207" s="41"/>
    </row>
    <row r="208" spans="3:20" s="37" customFormat="1" ht="12" x14ac:dyDescent="0.2">
      <c r="C208" s="38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41"/>
      <c r="S208" s="40"/>
      <c r="T208" s="41"/>
    </row>
    <row r="209" spans="3:20" s="37" customFormat="1" ht="12" x14ac:dyDescent="0.2">
      <c r="C209" s="38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41"/>
      <c r="S209" s="40"/>
      <c r="T209" s="41"/>
    </row>
    <row r="210" spans="3:20" s="37" customFormat="1" ht="12" x14ac:dyDescent="0.2">
      <c r="C210" s="38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41"/>
      <c r="S210" s="40"/>
      <c r="T210" s="41"/>
    </row>
    <row r="211" spans="3:20" s="37" customFormat="1" ht="12" x14ac:dyDescent="0.2">
      <c r="C211" s="38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41"/>
      <c r="S211" s="40"/>
      <c r="T211" s="41"/>
    </row>
    <row r="212" spans="3:20" s="37" customFormat="1" ht="12" x14ac:dyDescent="0.2">
      <c r="C212" s="38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41"/>
      <c r="S212" s="40"/>
      <c r="T212" s="41"/>
    </row>
    <row r="213" spans="3:20" s="37" customFormat="1" ht="12" x14ac:dyDescent="0.2">
      <c r="C213" s="38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41"/>
      <c r="S213" s="40"/>
      <c r="T213" s="41"/>
    </row>
    <row r="214" spans="3:20" s="37" customFormat="1" ht="12" x14ac:dyDescent="0.2">
      <c r="C214" s="38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41"/>
      <c r="S214" s="40"/>
      <c r="T214" s="41"/>
    </row>
    <row r="215" spans="3:20" s="37" customFormat="1" ht="12" x14ac:dyDescent="0.2">
      <c r="C215" s="38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41"/>
      <c r="S215" s="40"/>
      <c r="T215" s="41"/>
    </row>
    <row r="216" spans="3:20" s="37" customFormat="1" ht="12" x14ac:dyDescent="0.2">
      <c r="C216" s="38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41"/>
      <c r="S216" s="40"/>
      <c r="T216" s="41"/>
    </row>
    <row r="217" spans="3:20" s="37" customFormat="1" ht="12" x14ac:dyDescent="0.2">
      <c r="C217" s="38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41"/>
      <c r="S217" s="40"/>
      <c r="T217" s="41"/>
    </row>
    <row r="218" spans="3:20" s="37" customFormat="1" ht="12" x14ac:dyDescent="0.2">
      <c r="C218" s="38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41"/>
      <c r="S218" s="40"/>
      <c r="T218" s="41"/>
    </row>
    <row r="219" spans="3:20" s="37" customFormat="1" ht="12" x14ac:dyDescent="0.2">
      <c r="C219" s="38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41"/>
      <c r="S219" s="40"/>
      <c r="T219" s="41"/>
    </row>
    <row r="220" spans="3:20" s="37" customFormat="1" ht="12" x14ac:dyDescent="0.2">
      <c r="C220" s="38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41"/>
      <c r="S220" s="40"/>
      <c r="T220" s="41"/>
    </row>
    <row r="221" spans="3:20" s="37" customFormat="1" ht="12" x14ac:dyDescent="0.2">
      <c r="C221" s="38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41"/>
      <c r="S221" s="40"/>
      <c r="T221" s="41"/>
    </row>
    <row r="222" spans="3:20" s="37" customFormat="1" ht="12" x14ac:dyDescent="0.2">
      <c r="C222" s="38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41"/>
      <c r="S222" s="40"/>
      <c r="T222" s="41"/>
    </row>
    <row r="223" spans="3:20" s="37" customFormat="1" ht="12" x14ac:dyDescent="0.2">
      <c r="C223" s="38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41"/>
      <c r="S223" s="40"/>
      <c r="T223" s="41"/>
    </row>
    <row r="224" spans="3:20" s="37" customFormat="1" ht="12" x14ac:dyDescent="0.2">
      <c r="C224" s="38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41"/>
      <c r="S224" s="40"/>
      <c r="T224" s="41"/>
    </row>
    <row r="225" spans="3:20" s="37" customFormat="1" ht="12" x14ac:dyDescent="0.2">
      <c r="C225" s="38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41"/>
      <c r="S225" s="40"/>
      <c r="T225" s="41"/>
    </row>
    <row r="226" spans="3:20" s="37" customFormat="1" ht="12" x14ac:dyDescent="0.2">
      <c r="C226" s="38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41"/>
      <c r="S226" s="40"/>
      <c r="T226" s="41"/>
    </row>
    <row r="227" spans="3:20" s="37" customFormat="1" ht="12" x14ac:dyDescent="0.2">
      <c r="C227" s="38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41"/>
      <c r="S227" s="40"/>
      <c r="T227" s="41"/>
    </row>
    <row r="228" spans="3:20" s="37" customFormat="1" ht="12" x14ac:dyDescent="0.2">
      <c r="C228" s="38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41"/>
      <c r="S228" s="40"/>
      <c r="T228" s="41"/>
    </row>
    <row r="229" spans="3:20" s="37" customFormat="1" ht="12" x14ac:dyDescent="0.2">
      <c r="C229" s="38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41"/>
      <c r="S229" s="40"/>
      <c r="T229" s="41"/>
    </row>
    <row r="230" spans="3:20" s="37" customFormat="1" ht="12" x14ac:dyDescent="0.2">
      <c r="C230" s="38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41"/>
      <c r="S230" s="40"/>
      <c r="T230" s="41"/>
    </row>
    <row r="231" spans="3:20" s="37" customFormat="1" ht="12" x14ac:dyDescent="0.2">
      <c r="C231" s="38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41"/>
      <c r="S231" s="40"/>
      <c r="T231" s="41"/>
    </row>
    <row r="232" spans="3:20" s="37" customFormat="1" ht="12" x14ac:dyDescent="0.2">
      <c r="C232" s="38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41"/>
      <c r="S232" s="40"/>
      <c r="T232" s="41"/>
    </row>
    <row r="233" spans="3:20" s="37" customFormat="1" ht="12" x14ac:dyDescent="0.2">
      <c r="C233" s="38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41"/>
      <c r="S233" s="40"/>
      <c r="T233" s="41"/>
    </row>
    <row r="234" spans="3:20" s="37" customFormat="1" ht="12" x14ac:dyDescent="0.2">
      <c r="C234" s="38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41"/>
      <c r="S234" s="40"/>
      <c r="T234" s="41"/>
    </row>
    <row r="235" spans="3:20" s="37" customFormat="1" ht="12" x14ac:dyDescent="0.2">
      <c r="C235" s="38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41"/>
      <c r="S235" s="40"/>
      <c r="T235" s="41"/>
    </row>
    <row r="236" spans="3:20" s="37" customFormat="1" ht="12" x14ac:dyDescent="0.2">
      <c r="C236" s="38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41"/>
      <c r="S236" s="40"/>
      <c r="T236" s="41"/>
    </row>
    <row r="237" spans="3:20" s="37" customFormat="1" ht="12" x14ac:dyDescent="0.2">
      <c r="C237" s="38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41"/>
      <c r="S237" s="40"/>
      <c r="T237" s="41"/>
    </row>
    <row r="238" spans="3:20" s="37" customFormat="1" ht="12" x14ac:dyDescent="0.2">
      <c r="C238" s="38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41"/>
      <c r="S238" s="40"/>
      <c r="T238" s="41"/>
    </row>
    <row r="239" spans="3:20" s="37" customFormat="1" ht="12" x14ac:dyDescent="0.2">
      <c r="C239" s="38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41"/>
      <c r="S239" s="40"/>
      <c r="T239" s="41"/>
    </row>
    <row r="240" spans="3:20" s="37" customFormat="1" ht="12" x14ac:dyDescent="0.2">
      <c r="C240" s="38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41"/>
      <c r="S240" s="40"/>
      <c r="T240" s="41"/>
    </row>
    <row r="241" spans="3:20" s="37" customFormat="1" ht="12" x14ac:dyDescent="0.2">
      <c r="C241" s="38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41"/>
      <c r="S241" s="40"/>
      <c r="T241" s="41"/>
    </row>
    <row r="242" spans="3:20" s="37" customFormat="1" ht="12" x14ac:dyDescent="0.2">
      <c r="C242" s="38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41"/>
      <c r="S242" s="40"/>
      <c r="T242" s="41"/>
    </row>
    <row r="243" spans="3:20" s="37" customFormat="1" ht="12" x14ac:dyDescent="0.2">
      <c r="C243" s="38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41"/>
      <c r="S243" s="40"/>
      <c r="T243" s="41"/>
    </row>
    <row r="244" spans="3:20" s="37" customFormat="1" ht="12" x14ac:dyDescent="0.2">
      <c r="C244" s="38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41"/>
      <c r="S244" s="40"/>
      <c r="T244" s="41"/>
    </row>
    <row r="245" spans="3:20" s="37" customFormat="1" ht="12" x14ac:dyDescent="0.2">
      <c r="C245" s="38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41"/>
      <c r="S245" s="40"/>
      <c r="T245" s="41"/>
    </row>
    <row r="246" spans="3:20" s="37" customFormat="1" ht="12" x14ac:dyDescent="0.2">
      <c r="C246" s="38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41"/>
      <c r="S246" s="40"/>
      <c r="T246" s="41"/>
    </row>
    <row r="247" spans="3:20" s="37" customFormat="1" ht="12" x14ac:dyDescent="0.2">
      <c r="C247" s="38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41"/>
      <c r="S247" s="40"/>
      <c r="T247" s="41"/>
    </row>
    <row r="248" spans="3:20" s="37" customFormat="1" ht="12" x14ac:dyDescent="0.2">
      <c r="C248" s="38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41"/>
      <c r="S248" s="40"/>
      <c r="T248" s="41"/>
    </row>
    <row r="249" spans="3:20" s="37" customFormat="1" ht="12" x14ac:dyDescent="0.2">
      <c r="C249" s="38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41"/>
      <c r="S249" s="40"/>
      <c r="T249" s="41"/>
    </row>
    <row r="250" spans="3:20" s="37" customFormat="1" ht="12" x14ac:dyDescent="0.2">
      <c r="C250" s="38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41"/>
      <c r="S250" s="40"/>
      <c r="T250" s="41"/>
    </row>
    <row r="251" spans="3:20" s="37" customFormat="1" ht="12" x14ac:dyDescent="0.2">
      <c r="C251" s="38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41"/>
      <c r="S251" s="40"/>
      <c r="T251" s="41"/>
    </row>
    <row r="252" spans="3:20" s="37" customFormat="1" ht="12" x14ac:dyDescent="0.2">
      <c r="C252" s="38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41"/>
      <c r="S252" s="40"/>
      <c r="T252" s="41"/>
    </row>
    <row r="253" spans="3:20" s="37" customFormat="1" ht="12" x14ac:dyDescent="0.2">
      <c r="C253" s="38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41"/>
      <c r="S253" s="40"/>
      <c r="T253" s="41"/>
    </row>
    <row r="254" spans="3:20" s="37" customFormat="1" ht="12" x14ac:dyDescent="0.2">
      <c r="C254" s="38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41"/>
      <c r="S254" s="40"/>
      <c r="T254" s="41"/>
    </row>
    <row r="255" spans="3:20" s="37" customFormat="1" ht="12" x14ac:dyDescent="0.2">
      <c r="C255" s="38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41"/>
      <c r="S255" s="40"/>
      <c r="T255" s="41"/>
    </row>
    <row r="256" spans="3:20" s="37" customFormat="1" ht="12" x14ac:dyDescent="0.2">
      <c r="C256" s="38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41"/>
      <c r="S256" s="40"/>
      <c r="T256" s="41"/>
    </row>
    <row r="257" spans="3:20" s="37" customFormat="1" ht="12" x14ac:dyDescent="0.2">
      <c r="C257" s="38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41"/>
      <c r="S257" s="40"/>
      <c r="T257" s="41"/>
    </row>
    <row r="258" spans="3:20" s="37" customFormat="1" ht="12" x14ac:dyDescent="0.2">
      <c r="C258" s="38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41"/>
      <c r="S258" s="40"/>
      <c r="T258" s="41"/>
    </row>
    <row r="259" spans="3:20" s="37" customFormat="1" ht="12" x14ac:dyDescent="0.2">
      <c r="C259" s="38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41"/>
      <c r="S259" s="40"/>
      <c r="T259" s="41"/>
    </row>
    <row r="260" spans="3:20" s="37" customFormat="1" ht="12" x14ac:dyDescent="0.2">
      <c r="C260" s="38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41"/>
      <c r="S260" s="40"/>
      <c r="T260" s="41"/>
    </row>
    <row r="261" spans="3:20" s="37" customFormat="1" ht="12" x14ac:dyDescent="0.2">
      <c r="C261" s="38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41"/>
      <c r="S261" s="40"/>
      <c r="T261" s="41"/>
    </row>
    <row r="262" spans="3:20" s="37" customFormat="1" ht="12" x14ac:dyDescent="0.2">
      <c r="C262" s="38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41"/>
      <c r="S262" s="40"/>
      <c r="T262" s="41"/>
    </row>
    <row r="263" spans="3:20" s="37" customFormat="1" ht="12" x14ac:dyDescent="0.2">
      <c r="C263" s="38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41"/>
      <c r="S263" s="40"/>
      <c r="T263" s="41"/>
    </row>
    <row r="264" spans="3:20" s="37" customFormat="1" ht="12" x14ac:dyDescent="0.2">
      <c r="C264" s="38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41"/>
      <c r="S264" s="40"/>
      <c r="T264" s="41"/>
    </row>
    <row r="265" spans="3:20" s="37" customFormat="1" ht="12" x14ac:dyDescent="0.2">
      <c r="C265" s="38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41"/>
      <c r="S265" s="40"/>
      <c r="T265" s="41"/>
    </row>
    <row r="266" spans="3:20" s="37" customFormat="1" ht="12" x14ac:dyDescent="0.2">
      <c r="C266" s="38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41"/>
      <c r="S266" s="40"/>
      <c r="T266" s="41"/>
    </row>
    <row r="267" spans="3:20" s="37" customFormat="1" ht="12" x14ac:dyDescent="0.2">
      <c r="C267" s="38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41"/>
      <c r="S267" s="40"/>
      <c r="T267" s="41"/>
    </row>
    <row r="268" spans="3:20" s="37" customFormat="1" ht="12" x14ac:dyDescent="0.2">
      <c r="C268" s="38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41"/>
      <c r="S268" s="40"/>
      <c r="T268" s="41"/>
    </row>
    <row r="269" spans="3:20" s="37" customFormat="1" ht="12" x14ac:dyDescent="0.2">
      <c r="C269" s="38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41"/>
      <c r="S269" s="40"/>
      <c r="T269" s="41"/>
    </row>
    <row r="270" spans="3:20" s="37" customFormat="1" ht="12" x14ac:dyDescent="0.2">
      <c r="C270" s="38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41"/>
      <c r="S270" s="40"/>
      <c r="T270" s="41"/>
    </row>
    <row r="271" spans="3:20" s="37" customFormat="1" ht="12" x14ac:dyDescent="0.2">
      <c r="C271" s="38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41"/>
      <c r="S271" s="40"/>
      <c r="T271" s="41"/>
    </row>
    <row r="272" spans="3:20" s="37" customFormat="1" ht="12" x14ac:dyDescent="0.2">
      <c r="C272" s="38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41"/>
      <c r="S272" s="40"/>
      <c r="T272" s="41"/>
    </row>
    <row r="273" spans="3:20" s="37" customFormat="1" ht="12" x14ac:dyDescent="0.2">
      <c r="C273" s="38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41"/>
      <c r="S273" s="40"/>
      <c r="T273" s="41"/>
    </row>
    <row r="274" spans="3:20" s="37" customFormat="1" ht="12" x14ac:dyDescent="0.2">
      <c r="C274" s="38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41"/>
      <c r="S274" s="40"/>
      <c r="T274" s="41"/>
    </row>
    <row r="275" spans="3:20" s="37" customFormat="1" ht="12" x14ac:dyDescent="0.2">
      <c r="C275" s="38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41"/>
      <c r="S275" s="40"/>
      <c r="T275" s="41"/>
    </row>
    <row r="276" spans="3:20" s="37" customFormat="1" ht="12" x14ac:dyDescent="0.2">
      <c r="C276" s="38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41"/>
      <c r="S276" s="40"/>
      <c r="T276" s="41"/>
    </row>
    <row r="277" spans="3:20" x14ac:dyDescent="0.25"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R277" s="27"/>
      <c r="T277" s="27"/>
    </row>
  </sheetData>
  <mergeCells count="1">
    <mergeCell ref="E144:P144"/>
  </mergeCells>
  <pageMargins left="0.7" right="0.7" top="0.75" bottom="0.75" header="0.3" footer="0.3"/>
  <pageSetup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1" tint="0.34998626667073579"/>
  </sheetPr>
  <dimension ref="A1:W277"/>
  <sheetViews>
    <sheetView workbookViewId="0"/>
  </sheetViews>
  <sheetFormatPr defaultColWidth="8.85546875" defaultRowHeight="15" x14ac:dyDescent="0.25"/>
  <cols>
    <col min="1" max="2" width="3.140625" style="14" customWidth="1"/>
    <col min="3" max="3" width="7.85546875" style="20" customWidth="1"/>
    <col min="4" max="4" width="38.28515625" style="14" bestFit="1" customWidth="1"/>
    <col min="5" max="16" width="8.85546875" style="14"/>
    <col min="17" max="17" width="8.85546875" style="22"/>
    <col min="18" max="18" width="2.140625" style="28" customWidth="1"/>
    <col min="19" max="19" width="11.140625" style="338" bestFit="1" customWidth="1"/>
    <col min="20" max="20" width="2.140625" style="28" customWidth="1"/>
    <col min="21" max="21" width="11.140625" style="368" bestFit="1" customWidth="1"/>
    <col min="22" max="22" width="10" style="28" customWidth="1"/>
    <col min="23" max="16384" width="8.85546875" style="14"/>
  </cols>
  <sheetData>
    <row r="1" spans="1:23" s="1" customFormat="1" ht="21" x14ac:dyDescent="0.35">
      <c r="A1" s="11" t="str">
        <f>'Rev &amp; Enroll'!$F$5</f>
        <v>Nevada State High School (CSO)</v>
      </c>
      <c r="B1" s="11"/>
      <c r="C1" s="17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4"/>
      <c r="R1" s="24"/>
      <c r="S1" s="328"/>
      <c r="T1" s="24"/>
      <c r="U1" s="277"/>
      <c r="V1" s="24"/>
    </row>
    <row r="2" spans="1:23" s="1" customFormat="1" x14ac:dyDescent="0.25">
      <c r="A2" s="12" t="s">
        <v>518</v>
      </c>
      <c r="B2" s="12"/>
      <c r="C2" s="17"/>
      <c r="D2" s="13"/>
      <c r="E2" s="2"/>
      <c r="F2" s="2"/>
      <c r="G2" s="2"/>
      <c r="H2" s="2"/>
      <c r="I2" s="2"/>
      <c r="J2" s="2"/>
      <c r="M2" s="2"/>
      <c r="N2" s="2"/>
      <c r="O2" s="2"/>
      <c r="Q2" s="8"/>
      <c r="R2" s="25"/>
      <c r="S2" s="329"/>
      <c r="T2" s="29"/>
      <c r="U2" s="360"/>
      <c r="V2" s="29"/>
    </row>
    <row r="3" spans="1:23" s="6" customFormat="1" ht="13.5" customHeight="1" x14ac:dyDescent="0.2">
      <c r="A3" s="5" t="s">
        <v>520</v>
      </c>
      <c r="B3" s="5"/>
      <c r="C3" s="1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8"/>
      <c r="R3" s="25"/>
      <c r="S3" s="330"/>
      <c r="T3" s="30"/>
      <c r="U3" s="278"/>
      <c r="V3" s="30"/>
    </row>
    <row r="4" spans="1:23" s="9" customFormat="1" ht="29.45" customHeight="1" x14ac:dyDescent="0.25">
      <c r="C4" s="19"/>
      <c r="D4" s="10"/>
      <c r="E4" s="33">
        <v>44013</v>
      </c>
      <c r="F4" s="33">
        <f t="shared" ref="F4:P4" si="0">E4+31</f>
        <v>44044</v>
      </c>
      <c r="G4" s="33">
        <f t="shared" si="0"/>
        <v>44075</v>
      </c>
      <c r="H4" s="33">
        <f t="shared" si="0"/>
        <v>44106</v>
      </c>
      <c r="I4" s="33">
        <f t="shared" si="0"/>
        <v>44137</v>
      </c>
      <c r="J4" s="33">
        <f t="shared" si="0"/>
        <v>44168</v>
      </c>
      <c r="K4" s="33">
        <f t="shared" si="0"/>
        <v>44199</v>
      </c>
      <c r="L4" s="33">
        <f t="shared" si="0"/>
        <v>44230</v>
      </c>
      <c r="M4" s="33">
        <f t="shared" si="0"/>
        <v>44261</v>
      </c>
      <c r="N4" s="33">
        <f t="shared" si="0"/>
        <v>44292</v>
      </c>
      <c r="O4" s="33">
        <f t="shared" si="0"/>
        <v>44323</v>
      </c>
      <c r="P4" s="56">
        <f t="shared" si="0"/>
        <v>44354</v>
      </c>
      <c r="Q4" s="35" t="s">
        <v>54</v>
      </c>
      <c r="R4" s="26"/>
      <c r="S4" s="331" t="s">
        <v>55</v>
      </c>
      <c r="T4" s="26"/>
      <c r="U4" s="361" t="s">
        <v>567</v>
      </c>
      <c r="V4" s="26"/>
    </row>
    <row r="5" spans="1:23" s="9" customFormat="1" ht="12" hidden="1" customHeight="1" x14ac:dyDescent="0.2">
      <c r="C5" s="19"/>
      <c r="D5" s="207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4"/>
      <c r="R5" s="26"/>
      <c r="S5" s="339"/>
      <c r="T5" s="26"/>
      <c r="U5" s="362"/>
      <c r="V5" s="26"/>
      <c r="W5" s="32"/>
    </row>
    <row r="6" spans="1:23" s="37" customFormat="1" ht="11.45" customHeight="1" x14ac:dyDescent="0.2">
      <c r="A6" s="45" t="s">
        <v>58</v>
      </c>
      <c r="C6" s="38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8"/>
      <c r="R6" s="41"/>
      <c r="S6" s="332"/>
      <c r="T6" s="41"/>
      <c r="U6" s="362"/>
      <c r="V6" s="41"/>
    </row>
    <row r="7" spans="1:23" s="37" customFormat="1" ht="12" x14ac:dyDescent="0.2">
      <c r="A7" s="45"/>
      <c r="C7" s="49" t="s">
        <v>171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8"/>
      <c r="R7" s="41"/>
      <c r="S7" s="332"/>
      <c r="T7" s="41"/>
      <c r="U7" s="362"/>
      <c r="V7" s="41"/>
    </row>
    <row r="8" spans="1:23" s="37" customFormat="1" ht="12" x14ac:dyDescent="0.2">
      <c r="A8" s="45"/>
      <c r="C8" s="199">
        <v>1110</v>
      </c>
      <c r="D8" s="37" t="s">
        <v>0</v>
      </c>
      <c r="E8" s="188">
        <f>$W8/12</f>
        <v>34927.200000000004</v>
      </c>
      <c r="F8" s="188">
        <f t="shared" ref="F8:P9" si="1">$W8/12</f>
        <v>34927.200000000004</v>
      </c>
      <c r="G8" s="188">
        <f t="shared" si="1"/>
        <v>34927.200000000004</v>
      </c>
      <c r="H8" s="188">
        <f t="shared" si="1"/>
        <v>34927.200000000004</v>
      </c>
      <c r="I8" s="188">
        <f t="shared" si="1"/>
        <v>34927.200000000004</v>
      </c>
      <c r="J8" s="188">
        <f t="shared" si="1"/>
        <v>34927.200000000004</v>
      </c>
      <c r="K8" s="188">
        <f t="shared" si="1"/>
        <v>34927.200000000004</v>
      </c>
      <c r="L8" s="188">
        <f t="shared" si="1"/>
        <v>34927.200000000004</v>
      </c>
      <c r="M8" s="188">
        <f t="shared" si="1"/>
        <v>34927.200000000004</v>
      </c>
      <c r="N8" s="188">
        <f t="shared" si="1"/>
        <v>34927.200000000004</v>
      </c>
      <c r="O8" s="188">
        <f t="shared" si="1"/>
        <v>34927.200000000004</v>
      </c>
      <c r="P8" s="188">
        <f>$W8/12</f>
        <v>34927.200000000004</v>
      </c>
      <c r="Q8" s="189">
        <v>0.70751999999629334</v>
      </c>
      <c r="R8" s="186"/>
      <c r="S8" s="332">
        <f>SUM(E8:Q8)</f>
        <v>419127.10752000008</v>
      </c>
      <c r="T8" s="186"/>
      <c r="U8" s="362">
        <f>SUM(E8:L8)</f>
        <v>279417.60000000003</v>
      </c>
      <c r="V8" s="186"/>
      <c r="W8" s="37">
        <v>419126.4</v>
      </c>
    </row>
    <row r="9" spans="1:23" s="37" customFormat="1" ht="12" x14ac:dyDescent="0.2">
      <c r="A9" s="45"/>
      <c r="C9" s="199">
        <v>1120</v>
      </c>
      <c r="D9" s="37" t="s">
        <v>1</v>
      </c>
      <c r="E9" s="188">
        <f>$W9/12</f>
        <v>38367</v>
      </c>
      <c r="F9" s="188">
        <f t="shared" si="1"/>
        <v>38367</v>
      </c>
      <c r="G9" s="188">
        <f t="shared" si="1"/>
        <v>38367</v>
      </c>
      <c r="H9" s="188">
        <f t="shared" si="1"/>
        <v>38367</v>
      </c>
      <c r="I9" s="188">
        <f t="shared" si="1"/>
        <v>38367</v>
      </c>
      <c r="J9" s="188">
        <f t="shared" si="1"/>
        <v>38367</v>
      </c>
      <c r="K9" s="188">
        <f t="shared" si="1"/>
        <v>38367</v>
      </c>
      <c r="L9" s="188">
        <f t="shared" si="1"/>
        <v>38367</v>
      </c>
      <c r="M9" s="188">
        <f t="shared" si="1"/>
        <v>38367</v>
      </c>
      <c r="N9" s="188">
        <f t="shared" si="1"/>
        <v>38367</v>
      </c>
      <c r="O9" s="188">
        <f t="shared" si="1"/>
        <v>38367</v>
      </c>
      <c r="P9" s="188">
        <f t="shared" si="1"/>
        <v>38367</v>
      </c>
      <c r="Q9" s="68">
        <v>0.77720000001136214</v>
      </c>
      <c r="R9" s="41"/>
      <c r="S9" s="332">
        <f>SUM(E9:Q9)</f>
        <v>460404.77720000001</v>
      </c>
      <c r="T9" s="41"/>
      <c r="U9" s="362">
        <f t="shared" ref="U9:U72" si="2">SUM(E9:L9)</f>
        <v>306936</v>
      </c>
      <c r="V9" s="41"/>
      <c r="W9" s="37">
        <v>460404</v>
      </c>
    </row>
    <row r="10" spans="1:23" s="37" customFormat="1" ht="12" x14ac:dyDescent="0.2">
      <c r="A10" s="45"/>
      <c r="C10" s="199">
        <v>1191</v>
      </c>
      <c r="D10" s="37" t="s">
        <v>2</v>
      </c>
      <c r="E10" s="188">
        <f t="shared" ref="E10:P12" si="3">$W10/12</f>
        <v>132.29999999999998</v>
      </c>
      <c r="F10" s="188">
        <f t="shared" si="3"/>
        <v>132.29999999999998</v>
      </c>
      <c r="G10" s="188">
        <f t="shared" si="3"/>
        <v>132.29999999999998</v>
      </c>
      <c r="H10" s="188">
        <f t="shared" si="3"/>
        <v>132.29999999999998</v>
      </c>
      <c r="I10" s="188">
        <f t="shared" si="3"/>
        <v>132.29999999999998</v>
      </c>
      <c r="J10" s="188">
        <f t="shared" si="3"/>
        <v>132.29999999999998</v>
      </c>
      <c r="K10" s="188">
        <f t="shared" si="3"/>
        <v>132.29999999999998</v>
      </c>
      <c r="L10" s="188">
        <f t="shared" si="3"/>
        <v>132.29999999999998</v>
      </c>
      <c r="M10" s="188">
        <f t="shared" si="3"/>
        <v>132.29999999999998</v>
      </c>
      <c r="N10" s="188">
        <f t="shared" si="3"/>
        <v>132.29999999999998</v>
      </c>
      <c r="O10" s="188">
        <f t="shared" si="3"/>
        <v>132.29999999999998</v>
      </c>
      <c r="P10" s="188">
        <f t="shared" si="3"/>
        <v>132.29999999999998</v>
      </c>
      <c r="Q10" s="68">
        <v>2.6800000000548607E-3</v>
      </c>
      <c r="R10" s="41"/>
      <c r="S10" s="332">
        <f t="shared" ref="S10:S12" si="4">SUM(E10:Q10)</f>
        <v>1587.6026799999997</v>
      </c>
      <c r="T10" s="41"/>
      <c r="U10" s="362">
        <f t="shared" si="2"/>
        <v>1058.3999999999999</v>
      </c>
      <c r="V10" s="41"/>
      <c r="W10" s="37">
        <v>1587.6</v>
      </c>
    </row>
    <row r="11" spans="1:23" s="37" customFormat="1" ht="12" x14ac:dyDescent="0.2">
      <c r="A11" s="45"/>
      <c r="C11" s="199">
        <v>1192</v>
      </c>
      <c r="D11" s="37" t="s">
        <v>3</v>
      </c>
      <c r="E11" s="188">
        <f t="shared" si="3"/>
        <v>4101.3</v>
      </c>
      <c r="F11" s="188">
        <f t="shared" si="3"/>
        <v>4101.3</v>
      </c>
      <c r="G11" s="188">
        <f t="shared" si="3"/>
        <v>4101.3</v>
      </c>
      <c r="H11" s="188">
        <f t="shared" si="3"/>
        <v>4101.3</v>
      </c>
      <c r="I11" s="188">
        <f t="shared" si="3"/>
        <v>4101.3</v>
      </c>
      <c r="J11" s="188">
        <f t="shared" si="3"/>
        <v>4101.3</v>
      </c>
      <c r="K11" s="188">
        <f t="shared" si="3"/>
        <v>4101.3</v>
      </c>
      <c r="L11" s="188">
        <f t="shared" si="3"/>
        <v>4101.3</v>
      </c>
      <c r="M11" s="188">
        <f t="shared" si="3"/>
        <v>4101.3</v>
      </c>
      <c r="N11" s="188">
        <f t="shared" si="3"/>
        <v>4101.3</v>
      </c>
      <c r="O11" s="188">
        <f t="shared" si="3"/>
        <v>4101.3</v>
      </c>
      <c r="P11" s="188">
        <f t="shared" si="3"/>
        <v>4101.3</v>
      </c>
      <c r="Q11" s="68">
        <v>8.308000000033644E-2</v>
      </c>
      <c r="R11" s="41"/>
      <c r="S11" s="332">
        <f t="shared" si="4"/>
        <v>49215.683080000017</v>
      </c>
      <c r="T11" s="41"/>
      <c r="U11" s="362">
        <f t="shared" si="2"/>
        <v>32810.400000000001</v>
      </c>
      <c r="V11" s="41"/>
      <c r="W11" s="37">
        <v>49215.6</v>
      </c>
    </row>
    <row r="12" spans="1:23" s="37" customFormat="1" ht="12" x14ac:dyDescent="0.2">
      <c r="A12" s="45"/>
      <c r="C12" s="199">
        <v>3110</v>
      </c>
      <c r="D12" s="37" t="s">
        <v>73</v>
      </c>
      <c r="E12" s="188">
        <f t="shared" si="3"/>
        <v>54772.200000000004</v>
      </c>
      <c r="F12" s="188">
        <f t="shared" si="3"/>
        <v>54772.200000000004</v>
      </c>
      <c r="G12" s="188">
        <f t="shared" si="3"/>
        <v>54772.200000000004</v>
      </c>
      <c r="H12" s="188">
        <f t="shared" si="3"/>
        <v>54772.200000000004</v>
      </c>
      <c r="I12" s="188">
        <f t="shared" si="3"/>
        <v>54772.200000000004</v>
      </c>
      <c r="J12" s="188">
        <f t="shared" si="3"/>
        <v>54772.200000000004</v>
      </c>
      <c r="K12" s="188">
        <f t="shared" si="3"/>
        <v>54772.200000000004</v>
      </c>
      <c r="L12" s="188">
        <f t="shared" si="3"/>
        <v>54772.200000000004</v>
      </c>
      <c r="M12" s="188">
        <f t="shared" si="3"/>
        <v>54772.200000000004</v>
      </c>
      <c r="N12" s="188">
        <f t="shared" si="3"/>
        <v>54772.200000000004</v>
      </c>
      <c r="O12" s="188">
        <f t="shared" si="3"/>
        <v>54772.200000000004</v>
      </c>
      <c r="P12" s="188">
        <f t="shared" si="3"/>
        <v>54772.200000000004</v>
      </c>
      <c r="Q12" s="68">
        <v>1.109519999998156</v>
      </c>
      <c r="R12" s="41"/>
      <c r="S12" s="332">
        <f t="shared" si="4"/>
        <v>657267.50951999985</v>
      </c>
      <c r="T12" s="41"/>
      <c r="U12" s="362">
        <f t="shared" si="2"/>
        <v>438177.60000000003</v>
      </c>
      <c r="V12" s="41"/>
      <c r="W12" s="37">
        <v>657266.4</v>
      </c>
    </row>
    <row r="13" spans="1:23" s="37" customFormat="1" ht="12" x14ac:dyDescent="0.2">
      <c r="A13" s="45"/>
      <c r="C13" s="38"/>
      <c r="E13" s="73">
        <f>SUBTOTAL(9,E8:E12)</f>
        <v>132300.00000000003</v>
      </c>
      <c r="F13" s="73">
        <f t="shared" ref="F13:Q13" si="5">SUBTOTAL(9,F8:F12)</f>
        <v>132300.00000000003</v>
      </c>
      <c r="G13" s="73">
        <f t="shared" si="5"/>
        <v>132300.00000000003</v>
      </c>
      <c r="H13" s="73">
        <f t="shared" si="5"/>
        <v>132300.00000000003</v>
      </c>
      <c r="I13" s="73">
        <f t="shared" si="5"/>
        <v>132300.00000000003</v>
      </c>
      <c r="J13" s="73">
        <f t="shared" si="5"/>
        <v>132300.00000000003</v>
      </c>
      <c r="K13" s="73">
        <f t="shared" si="5"/>
        <v>132300.00000000003</v>
      </c>
      <c r="L13" s="73">
        <f t="shared" si="5"/>
        <v>132300.00000000003</v>
      </c>
      <c r="M13" s="73">
        <f t="shared" si="5"/>
        <v>132300.00000000003</v>
      </c>
      <c r="N13" s="73">
        <f t="shared" si="5"/>
        <v>132300.00000000003</v>
      </c>
      <c r="O13" s="73">
        <f t="shared" si="5"/>
        <v>132300.00000000003</v>
      </c>
      <c r="P13" s="73">
        <f t="shared" si="5"/>
        <v>132300.00000000003</v>
      </c>
      <c r="Q13" s="73">
        <f t="shared" si="5"/>
        <v>2.6800000000062028</v>
      </c>
      <c r="R13" s="41"/>
      <c r="S13" s="333">
        <f>SUBTOTAL(9,S8:S12)</f>
        <v>1587602.68</v>
      </c>
      <c r="T13" s="41"/>
      <c r="U13" s="363">
        <f t="shared" si="2"/>
        <v>1058400.0000000002</v>
      </c>
      <c r="V13" s="41"/>
    </row>
    <row r="14" spans="1:23" s="37" customFormat="1" ht="12" x14ac:dyDescent="0.2">
      <c r="A14" s="45"/>
      <c r="C14" s="49" t="s">
        <v>170</v>
      </c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8"/>
      <c r="R14" s="41"/>
      <c r="S14" s="332"/>
      <c r="T14" s="41"/>
      <c r="U14" s="362">
        <f t="shared" si="2"/>
        <v>0</v>
      </c>
      <c r="V14" s="41"/>
    </row>
    <row r="15" spans="1:23" s="37" customFormat="1" ht="12" x14ac:dyDescent="0.2">
      <c r="A15" s="45"/>
      <c r="C15" s="199">
        <v>3115</v>
      </c>
      <c r="D15" s="37" t="s">
        <v>5</v>
      </c>
      <c r="E15" s="188">
        <f t="shared" ref="E15:P16" si="6">$W15/12</f>
        <v>0</v>
      </c>
      <c r="F15" s="188">
        <f t="shared" si="6"/>
        <v>0</v>
      </c>
      <c r="G15" s="188">
        <f t="shared" si="6"/>
        <v>0</v>
      </c>
      <c r="H15" s="188">
        <f t="shared" si="6"/>
        <v>0</v>
      </c>
      <c r="I15" s="188">
        <f t="shared" si="6"/>
        <v>0</v>
      </c>
      <c r="J15" s="188">
        <f t="shared" si="6"/>
        <v>0</v>
      </c>
      <c r="K15" s="188">
        <f t="shared" si="6"/>
        <v>0</v>
      </c>
      <c r="L15" s="188">
        <f t="shared" si="6"/>
        <v>0</v>
      </c>
      <c r="M15" s="188">
        <f t="shared" si="6"/>
        <v>0</v>
      </c>
      <c r="N15" s="188">
        <f t="shared" si="6"/>
        <v>0</v>
      </c>
      <c r="O15" s="188">
        <f t="shared" si="6"/>
        <v>0</v>
      </c>
      <c r="P15" s="188">
        <f t="shared" si="6"/>
        <v>0</v>
      </c>
      <c r="Q15" s="68">
        <v>0</v>
      </c>
      <c r="R15" s="41"/>
      <c r="S15" s="332">
        <f t="shared" ref="S15:S21" si="7">SUM(E15:Q15)</f>
        <v>0</v>
      </c>
      <c r="T15" s="41"/>
      <c r="U15" s="362">
        <f t="shared" si="2"/>
        <v>0</v>
      </c>
      <c r="V15" s="41"/>
    </row>
    <row r="16" spans="1:23" s="37" customFormat="1" ht="12" x14ac:dyDescent="0.2">
      <c r="A16" s="45"/>
      <c r="C16" s="199">
        <v>3200</v>
      </c>
      <c r="D16" s="37" t="s">
        <v>6</v>
      </c>
      <c r="E16" s="188">
        <f t="shared" si="6"/>
        <v>0</v>
      </c>
      <c r="F16" s="188">
        <f t="shared" si="6"/>
        <v>0</v>
      </c>
      <c r="G16" s="188">
        <f t="shared" si="6"/>
        <v>0</v>
      </c>
      <c r="H16" s="188">
        <f t="shared" si="6"/>
        <v>0</v>
      </c>
      <c r="I16" s="188">
        <f t="shared" si="6"/>
        <v>0</v>
      </c>
      <c r="J16" s="188">
        <f t="shared" si="6"/>
        <v>0</v>
      </c>
      <c r="K16" s="188">
        <f t="shared" si="6"/>
        <v>0</v>
      </c>
      <c r="L16" s="188">
        <f t="shared" si="6"/>
        <v>0</v>
      </c>
      <c r="M16" s="188">
        <f t="shared" si="6"/>
        <v>0</v>
      </c>
      <c r="N16" s="188">
        <f t="shared" si="6"/>
        <v>0</v>
      </c>
      <c r="O16" s="188">
        <f t="shared" si="6"/>
        <v>0</v>
      </c>
      <c r="P16" s="188">
        <f t="shared" si="6"/>
        <v>0</v>
      </c>
      <c r="Q16" s="68">
        <v>0</v>
      </c>
      <c r="R16" s="41"/>
      <c r="S16" s="332">
        <f t="shared" si="7"/>
        <v>0</v>
      </c>
      <c r="T16" s="41"/>
      <c r="U16" s="362">
        <f t="shared" si="2"/>
        <v>0</v>
      </c>
      <c r="V16" s="41"/>
    </row>
    <row r="17" spans="1:23" s="37" customFormat="1" ht="12" x14ac:dyDescent="0.2">
      <c r="A17" s="45"/>
      <c r="C17" s="38"/>
      <c r="E17" s="73">
        <f>SUBTOTAL(9,E15:E16)</f>
        <v>0</v>
      </c>
      <c r="F17" s="73">
        <f t="shared" ref="F17:S17" si="8">SUBTOTAL(9,F15:F16)</f>
        <v>0</v>
      </c>
      <c r="G17" s="73">
        <f t="shared" si="8"/>
        <v>0</v>
      </c>
      <c r="H17" s="73">
        <f t="shared" si="8"/>
        <v>0</v>
      </c>
      <c r="I17" s="73">
        <f t="shared" si="8"/>
        <v>0</v>
      </c>
      <c r="J17" s="73">
        <f t="shared" si="8"/>
        <v>0</v>
      </c>
      <c r="K17" s="73">
        <f t="shared" si="8"/>
        <v>0</v>
      </c>
      <c r="L17" s="73">
        <f t="shared" si="8"/>
        <v>0</v>
      </c>
      <c r="M17" s="73">
        <f t="shared" si="8"/>
        <v>0</v>
      </c>
      <c r="N17" s="73">
        <f t="shared" si="8"/>
        <v>0</v>
      </c>
      <c r="O17" s="73">
        <f t="shared" si="8"/>
        <v>0</v>
      </c>
      <c r="P17" s="73">
        <f t="shared" si="8"/>
        <v>0</v>
      </c>
      <c r="Q17" s="73">
        <f t="shared" si="8"/>
        <v>0</v>
      </c>
      <c r="R17" s="41"/>
      <c r="S17" s="333">
        <f t="shared" si="8"/>
        <v>0</v>
      </c>
      <c r="T17" s="41"/>
      <c r="U17" s="363">
        <f t="shared" si="2"/>
        <v>0</v>
      </c>
      <c r="V17" s="41"/>
    </row>
    <row r="18" spans="1:23" s="37" customFormat="1" ht="12" x14ac:dyDescent="0.2">
      <c r="A18" s="45"/>
      <c r="C18" s="49" t="s">
        <v>149</v>
      </c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41"/>
      <c r="S18" s="332"/>
      <c r="T18" s="41"/>
      <c r="U18" s="362">
        <f t="shared" si="2"/>
        <v>0</v>
      </c>
      <c r="V18" s="41"/>
    </row>
    <row r="19" spans="1:23" s="37" customFormat="1" ht="12" x14ac:dyDescent="0.2">
      <c r="A19" s="45"/>
      <c r="C19" s="199">
        <v>4500</v>
      </c>
      <c r="D19" s="37" t="s">
        <v>6</v>
      </c>
      <c r="E19" s="188">
        <f t="shared" ref="E19:P21" si="9">$W19/12</f>
        <v>2245.9116666666669</v>
      </c>
      <c r="F19" s="188">
        <f t="shared" si="9"/>
        <v>2245.9116666666669</v>
      </c>
      <c r="G19" s="188">
        <f t="shared" si="9"/>
        <v>2245.9116666666669</v>
      </c>
      <c r="H19" s="188">
        <f t="shared" si="9"/>
        <v>2245.9116666666669</v>
      </c>
      <c r="I19" s="188">
        <f t="shared" si="9"/>
        <v>2245.9116666666669</v>
      </c>
      <c r="J19" s="188">
        <f t="shared" si="9"/>
        <v>2245.9116666666669</v>
      </c>
      <c r="K19" s="188">
        <f t="shared" si="9"/>
        <v>2245.9116666666669</v>
      </c>
      <c r="L19" s="188">
        <f t="shared" si="9"/>
        <v>2245.9116666666669</v>
      </c>
      <c r="M19" s="188">
        <f t="shared" si="9"/>
        <v>2245.9116666666669</v>
      </c>
      <c r="N19" s="188">
        <f t="shared" si="9"/>
        <v>2245.9116666666669</v>
      </c>
      <c r="O19" s="188">
        <f t="shared" si="9"/>
        <v>2245.9116666666669</v>
      </c>
      <c r="P19" s="188">
        <f t="shared" si="9"/>
        <v>2245.9116666666669</v>
      </c>
      <c r="Q19" s="68">
        <v>0</v>
      </c>
      <c r="R19" s="41"/>
      <c r="S19" s="332">
        <f t="shared" si="7"/>
        <v>26950.940000000002</v>
      </c>
      <c r="T19" s="41"/>
      <c r="U19" s="362">
        <f t="shared" si="2"/>
        <v>17967.293333333335</v>
      </c>
      <c r="V19" s="41"/>
      <c r="W19" s="37">
        <v>26950.940000000002</v>
      </c>
    </row>
    <row r="20" spans="1:23" s="37" customFormat="1" ht="12" x14ac:dyDescent="0.2">
      <c r="A20" s="45"/>
      <c r="C20" s="199">
        <v>4571</v>
      </c>
      <c r="D20" s="37" t="s">
        <v>7</v>
      </c>
      <c r="E20" s="188">
        <f t="shared" si="9"/>
        <v>0</v>
      </c>
      <c r="F20" s="188">
        <f t="shared" si="9"/>
        <v>0</v>
      </c>
      <c r="G20" s="188">
        <f t="shared" si="9"/>
        <v>0</v>
      </c>
      <c r="H20" s="188">
        <f t="shared" si="9"/>
        <v>0</v>
      </c>
      <c r="I20" s="188">
        <f t="shared" si="9"/>
        <v>0</v>
      </c>
      <c r="J20" s="188">
        <f t="shared" si="9"/>
        <v>0</v>
      </c>
      <c r="K20" s="188">
        <f t="shared" si="9"/>
        <v>0</v>
      </c>
      <c r="L20" s="188">
        <f t="shared" si="9"/>
        <v>0</v>
      </c>
      <c r="M20" s="188">
        <f t="shared" si="9"/>
        <v>0</v>
      </c>
      <c r="N20" s="188">
        <f t="shared" si="9"/>
        <v>0</v>
      </c>
      <c r="O20" s="188">
        <f t="shared" si="9"/>
        <v>0</v>
      </c>
      <c r="P20" s="188">
        <f t="shared" si="9"/>
        <v>0</v>
      </c>
      <c r="Q20" s="68">
        <v>0</v>
      </c>
      <c r="R20" s="41"/>
      <c r="S20" s="332">
        <f t="shared" si="7"/>
        <v>0</v>
      </c>
      <c r="T20" s="41"/>
      <c r="U20" s="364">
        <f t="shared" si="2"/>
        <v>0</v>
      </c>
      <c r="V20" s="41"/>
    </row>
    <row r="21" spans="1:23" s="37" customFormat="1" ht="12" x14ac:dyDescent="0.2">
      <c r="A21" s="45"/>
      <c r="C21" s="38">
        <v>4703</v>
      </c>
      <c r="D21" s="37" t="s">
        <v>185</v>
      </c>
      <c r="E21" s="188">
        <f t="shared" si="9"/>
        <v>1622.5</v>
      </c>
      <c r="F21" s="188">
        <f t="shared" si="9"/>
        <v>1622.5</v>
      </c>
      <c r="G21" s="188">
        <f t="shared" si="9"/>
        <v>1622.5</v>
      </c>
      <c r="H21" s="188">
        <f t="shared" si="9"/>
        <v>1622.5</v>
      </c>
      <c r="I21" s="188">
        <f t="shared" si="9"/>
        <v>1622.5</v>
      </c>
      <c r="J21" s="188">
        <f t="shared" si="9"/>
        <v>1622.5</v>
      </c>
      <c r="K21" s="188">
        <f t="shared" si="9"/>
        <v>1622.5</v>
      </c>
      <c r="L21" s="188">
        <f t="shared" si="9"/>
        <v>1622.5</v>
      </c>
      <c r="M21" s="188">
        <f t="shared" si="9"/>
        <v>1622.5</v>
      </c>
      <c r="N21" s="188">
        <f t="shared" si="9"/>
        <v>1622.5</v>
      </c>
      <c r="O21" s="188">
        <f t="shared" si="9"/>
        <v>1622.5</v>
      </c>
      <c r="P21" s="188">
        <f t="shared" si="9"/>
        <v>1622.5</v>
      </c>
      <c r="Q21" s="68">
        <v>0</v>
      </c>
      <c r="R21" s="41"/>
      <c r="S21" s="332">
        <f t="shared" si="7"/>
        <v>19470</v>
      </c>
      <c r="T21" s="41"/>
      <c r="U21" s="364">
        <f t="shared" si="2"/>
        <v>12980</v>
      </c>
      <c r="V21" s="41"/>
      <c r="W21" s="37">
        <v>19470</v>
      </c>
    </row>
    <row r="22" spans="1:23" s="37" customFormat="1" ht="12" x14ac:dyDescent="0.2">
      <c r="A22" s="45"/>
      <c r="C22" s="38"/>
      <c r="E22" s="73">
        <f>SUBTOTAL(9,E19:E21)</f>
        <v>3868.4116666666669</v>
      </c>
      <c r="F22" s="73">
        <f t="shared" ref="F22:P22" si="10">SUBTOTAL(9,F19:F21)</f>
        <v>3868.4116666666669</v>
      </c>
      <c r="G22" s="73">
        <f t="shared" si="10"/>
        <v>3868.4116666666669</v>
      </c>
      <c r="H22" s="73">
        <f t="shared" si="10"/>
        <v>3868.4116666666669</v>
      </c>
      <c r="I22" s="73">
        <f t="shared" si="10"/>
        <v>3868.4116666666669</v>
      </c>
      <c r="J22" s="73">
        <f t="shared" si="10"/>
        <v>3868.4116666666669</v>
      </c>
      <c r="K22" s="73">
        <f t="shared" si="10"/>
        <v>3868.4116666666669</v>
      </c>
      <c r="L22" s="73">
        <f t="shared" si="10"/>
        <v>3868.4116666666669</v>
      </c>
      <c r="M22" s="73">
        <f t="shared" si="10"/>
        <v>3868.4116666666669</v>
      </c>
      <c r="N22" s="73">
        <f t="shared" si="10"/>
        <v>3868.4116666666669</v>
      </c>
      <c r="O22" s="73">
        <f t="shared" si="10"/>
        <v>3868.4116666666669</v>
      </c>
      <c r="P22" s="73">
        <f t="shared" si="10"/>
        <v>3868.4116666666669</v>
      </c>
      <c r="Q22" s="73">
        <f>SUBTOTAL(9,Q19:Q21)</f>
        <v>0</v>
      </c>
      <c r="R22" s="41"/>
      <c r="S22" s="333">
        <f>SUBTOTAL(9,S19:S21)</f>
        <v>46420.94</v>
      </c>
      <c r="T22" s="41"/>
      <c r="U22" s="363">
        <f t="shared" si="2"/>
        <v>30947.293333333335</v>
      </c>
      <c r="V22" s="41"/>
    </row>
    <row r="23" spans="1:23" s="37" customFormat="1" ht="12" x14ac:dyDescent="0.2">
      <c r="A23" s="45"/>
      <c r="C23" s="49" t="s">
        <v>150</v>
      </c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41"/>
      <c r="S23" s="334"/>
      <c r="T23" s="41"/>
      <c r="U23" s="364">
        <f t="shared" si="2"/>
        <v>0</v>
      </c>
      <c r="V23" s="41"/>
    </row>
    <row r="24" spans="1:23" s="37" customFormat="1" ht="12" x14ac:dyDescent="0.2">
      <c r="A24" s="45"/>
      <c r="C24" s="199">
        <v>1790</v>
      </c>
      <c r="D24" s="37" t="s">
        <v>4</v>
      </c>
      <c r="E24" s="188">
        <f>$W24/12</f>
        <v>42382.5</v>
      </c>
      <c r="F24" s="188">
        <f t="shared" ref="F24:O24" si="11">$W24/12</f>
        <v>42382.5</v>
      </c>
      <c r="G24" s="188">
        <f t="shared" si="11"/>
        <v>42382.5</v>
      </c>
      <c r="H24" s="188">
        <f t="shared" si="11"/>
        <v>42382.5</v>
      </c>
      <c r="I24" s="188">
        <f t="shared" si="11"/>
        <v>42382.5</v>
      </c>
      <c r="J24" s="188">
        <f t="shared" si="11"/>
        <v>42382.5</v>
      </c>
      <c r="K24" s="188">
        <f t="shared" si="11"/>
        <v>42382.5</v>
      </c>
      <c r="L24" s="188">
        <f t="shared" si="11"/>
        <v>42382.5</v>
      </c>
      <c r="M24" s="188">
        <f t="shared" si="11"/>
        <v>42382.5</v>
      </c>
      <c r="N24" s="188">
        <f t="shared" si="11"/>
        <v>42382.5</v>
      </c>
      <c r="O24" s="188">
        <f t="shared" si="11"/>
        <v>42382.5</v>
      </c>
      <c r="P24" s="188">
        <f>$W24/12</f>
        <v>42382.5</v>
      </c>
      <c r="Q24" s="68">
        <v>0</v>
      </c>
      <c r="R24" s="41"/>
      <c r="S24" s="332">
        <f>SUM(E24:Q24)</f>
        <v>508590</v>
      </c>
      <c r="T24" s="41"/>
      <c r="U24" s="362">
        <f t="shared" si="2"/>
        <v>339060</v>
      </c>
      <c r="V24" s="41"/>
      <c r="W24" s="37">
        <v>508590</v>
      </c>
    </row>
    <row r="25" spans="1:23" s="37" customFormat="1" ht="12" x14ac:dyDescent="0.2">
      <c r="A25" s="45"/>
      <c r="C25" s="38"/>
      <c r="E25" s="73">
        <f>SUBTOTAL(9,E24)</f>
        <v>42382.5</v>
      </c>
      <c r="F25" s="73">
        <f t="shared" ref="F25:S25" si="12">SUBTOTAL(9,F24)</f>
        <v>42382.5</v>
      </c>
      <c r="G25" s="73">
        <f t="shared" si="12"/>
        <v>42382.5</v>
      </c>
      <c r="H25" s="73">
        <f t="shared" si="12"/>
        <v>42382.5</v>
      </c>
      <c r="I25" s="73">
        <f t="shared" si="12"/>
        <v>42382.5</v>
      </c>
      <c r="J25" s="73">
        <f t="shared" si="12"/>
        <v>42382.5</v>
      </c>
      <c r="K25" s="73">
        <f t="shared" si="12"/>
        <v>42382.5</v>
      </c>
      <c r="L25" s="73">
        <f t="shared" si="12"/>
        <v>42382.5</v>
      </c>
      <c r="M25" s="73">
        <f t="shared" si="12"/>
        <v>42382.5</v>
      </c>
      <c r="N25" s="73">
        <f t="shared" si="12"/>
        <v>42382.5</v>
      </c>
      <c r="O25" s="73">
        <f t="shared" si="12"/>
        <v>42382.5</v>
      </c>
      <c r="P25" s="73">
        <f t="shared" si="12"/>
        <v>42382.5</v>
      </c>
      <c r="Q25" s="73">
        <f t="shared" si="12"/>
        <v>0</v>
      </c>
      <c r="R25" s="41"/>
      <c r="S25" s="333">
        <f t="shared" si="12"/>
        <v>508590</v>
      </c>
      <c r="T25" s="41"/>
      <c r="U25" s="363">
        <f t="shared" si="2"/>
        <v>339060</v>
      </c>
      <c r="V25" s="41"/>
    </row>
    <row r="26" spans="1:23" s="37" customFormat="1" ht="9" customHeight="1" x14ac:dyDescent="0.2">
      <c r="A26" s="45"/>
      <c r="C26" s="38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41"/>
      <c r="S26" s="332"/>
      <c r="T26" s="41"/>
      <c r="U26" s="362">
        <f t="shared" si="2"/>
        <v>0</v>
      </c>
      <c r="V26" s="41"/>
    </row>
    <row r="27" spans="1:23" s="45" customFormat="1" ht="12" x14ac:dyDescent="0.2">
      <c r="A27" s="45" t="s">
        <v>105</v>
      </c>
      <c r="C27" s="46"/>
      <c r="E27" s="71">
        <f t="shared" ref="E27:Q27" si="13">SUBTOTAL(9,E8:E26)</f>
        <v>178550.91166666668</v>
      </c>
      <c r="F27" s="71">
        <f t="shared" si="13"/>
        <v>178550.91166666668</v>
      </c>
      <c r="G27" s="71">
        <f t="shared" si="13"/>
        <v>178550.91166666668</v>
      </c>
      <c r="H27" s="71">
        <f t="shared" si="13"/>
        <v>178550.91166666668</v>
      </c>
      <c r="I27" s="71">
        <f t="shared" si="13"/>
        <v>178550.91166666668</v>
      </c>
      <c r="J27" s="71">
        <f t="shared" si="13"/>
        <v>178550.91166666668</v>
      </c>
      <c r="K27" s="71">
        <f t="shared" si="13"/>
        <v>178550.91166666668</v>
      </c>
      <c r="L27" s="71">
        <f t="shared" si="13"/>
        <v>178550.91166666668</v>
      </c>
      <c r="M27" s="71">
        <f t="shared" si="13"/>
        <v>178550.91166666668</v>
      </c>
      <c r="N27" s="71">
        <f t="shared" si="13"/>
        <v>178550.91166666668</v>
      </c>
      <c r="O27" s="71">
        <f t="shared" si="13"/>
        <v>178550.91166666668</v>
      </c>
      <c r="P27" s="71">
        <f t="shared" si="13"/>
        <v>178550.91166666668</v>
      </c>
      <c r="Q27" s="69">
        <f t="shared" si="13"/>
        <v>2.6800000000062028</v>
      </c>
      <c r="R27" s="48"/>
      <c r="S27" s="335">
        <f>SUBTOTAL(9,S8:S26)</f>
        <v>2142613.62</v>
      </c>
      <c r="T27" s="48"/>
      <c r="U27" s="365">
        <f t="shared" si="2"/>
        <v>1428407.2933333332</v>
      </c>
      <c r="V27" s="48"/>
    </row>
    <row r="28" spans="1:23" s="45" customFormat="1" ht="12" x14ac:dyDescent="0.2">
      <c r="C28" s="46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67"/>
      <c r="R28" s="48"/>
      <c r="S28" s="332"/>
      <c r="T28" s="48"/>
      <c r="U28" s="277">
        <f t="shared" si="2"/>
        <v>0</v>
      </c>
      <c r="V28" s="48"/>
    </row>
    <row r="29" spans="1:23" s="37" customFormat="1" ht="12" x14ac:dyDescent="0.2">
      <c r="A29" s="45" t="s">
        <v>59</v>
      </c>
      <c r="C29" s="38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41"/>
      <c r="S29" s="332"/>
      <c r="T29" s="41"/>
      <c r="U29" s="362">
        <f t="shared" si="2"/>
        <v>0</v>
      </c>
      <c r="V29" s="41"/>
    </row>
    <row r="30" spans="1:23" s="37" customFormat="1" ht="12" x14ac:dyDescent="0.2">
      <c r="C30" s="49" t="s">
        <v>8</v>
      </c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41"/>
      <c r="S30" s="332"/>
      <c r="T30" s="41"/>
      <c r="U30" s="362">
        <f t="shared" si="2"/>
        <v>0</v>
      </c>
      <c r="V30" s="41"/>
    </row>
    <row r="31" spans="1:23" s="37" customFormat="1" ht="12" x14ac:dyDescent="0.2">
      <c r="C31" s="199">
        <v>6111</v>
      </c>
      <c r="D31" s="37" t="s">
        <v>191</v>
      </c>
      <c r="E31" s="188">
        <f t="shared" ref="E31:P40" si="14">$W31/12</f>
        <v>0</v>
      </c>
      <c r="F31" s="188">
        <f t="shared" si="14"/>
        <v>0</v>
      </c>
      <c r="G31" s="188">
        <f t="shared" si="14"/>
        <v>0</v>
      </c>
      <c r="H31" s="188">
        <f t="shared" si="14"/>
        <v>0</v>
      </c>
      <c r="I31" s="188">
        <f t="shared" si="14"/>
        <v>0</v>
      </c>
      <c r="J31" s="188">
        <f t="shared" si="14"/>
        <v>0</v>
      </c>
      <c r="K31" s="188">
        <f t="shared" si="14"/>
        <v>0</v>
      </c>
      <c r="L31" s="188">
        <f t="shared" si="14"/>
        <v>0</v>
      </c>
      <c r="M31" s="188">
        <f t="shared" si="14"/>
        <v>0</v>
      </c>
      <c r="N31" s="188">
        <f t="shared" si="14"/>
        <v>0</v>
      </c>
      <c r="O31" s="188">
        <f t="shared" si="14"/>
        <v>0</v>
      </c>
      <c r="P31" s="188">
        <f t="shared" si="14"/>
        <v>0</v>
      </c>
      <c r="Q31" s="68">
        <v>0</v>
      </c>
      <c r="R31" s="41"/>
      <c r="S31" s="332">
        <f t="shared" ref="S31:S40" si="15">SUM(E31:Q31)</f>
        <v>0</v>
      </c>
      <c r="T31" s="41"/>
      <c r="U31" s="362">
        <f t="shared" si="2"/>
        <v>0</v>
      </c>
      <c r="V31" s="41"/>
    </row>
    <row r="32" spans="1:23" s="37" customFormat="1" ht="12" x14ac:dyDescent="0.2">
      <c r="C32" s="199">
        <v>6114</v>
      </c>
      <c r="D32" s="37" t="s">
        <v>192</v>
      </c>
      <c r="E32" s="188">
        <f t="shared" si="14"/>
        <v>20291.666666666668</v>
      </c>
      <c r="F32" s="188">
        <f t="shared" si="14"/>
        <v>20291.666666666668</v>
      </c>
      <c r="G32" s="188">
        <f t="shared" si="14"/>
        <v>20291.666666666668</v>
      </c>
      <c r="H32" s="188">
        <f t="shared" si="14"/>
        <v>20291.666666666668</v>
      </c>
      <c r="I32" s="188">
        <f t="shared" si="14"/>
        <v>20291.666666666668</v>
      </c>
      <c r="J32" s="188">
        <f t="shared" si="14"/>
        <v>20291.666666666668</v>
      </c>
      <c r="K32" s="188">
        <f t="shared" si="14"/>
        <v>20291.666666666668</v>
      </c>
      <c r="L32" s="188">
        <f t="shared" si="14"/>
        <v>20291.666666666668</v>
      </c>
      <c r="M32" s="188">
        <f t="shared" si="14"/>
        <v>20291.666666666668</v>
      </c>
      <c r="N32" s="188">
        <f t="shared" si="14"/>
        <v>20291.666666666668</v>
      </c>
      <c r="O32" s="188">
        <f t="shared" si="14"/>
        <v>20291.666666666668</v>
      </c>
      <c r="P32" s="188">
        <f t="shared" si="14"/>
        <v>20291.666666666668</v>
      </c>
      <c r="Q32" s="68">
        <v>0</v>
      </c>
      <c r="R32" s="41"/>
      <c r="S32" s="332">
        <f t="shared" si="15"/>
        <v>243499.99999999997</v>
      </c>
      <c r="T32" s="41"/>
      <c r="U32" s="362">
        <f t="shared" si="2"/>
        <v>162333.33333333334</v>
      </c>
      <c r="V32" s="41"/>
      <c r="W32" s="37">
        <v>243500</v>
      </c>
    </row>
    <row r="33" spans="3:23" s="37" customFormat="1" ht="12" x14ac:dyDescent="0.2">
      <c r="C33" s="199">
        <v>6117</v>
      </c>
      <c r="D33" s="37" t="s">
        <v>228</v>
      </c>
      <c r="E33" s="188">
        <f t="shared" si="14"/>
        <v>52549.199562499998</v>
      </c>
      <c r="F33" s="188">
        <f t="shared" si="14"/>
        <v>52549.199562499998</v>
      </c>
      <c r="G33" s="188">
        <f t="shared" si="14"/>
        <v>52549.199562499998</v>
      </c>
      <c r="H33" s="188">
        <f t="shared" si="14"/>
        <v>52549.199562499998</v>
      </c>
      <c r="I33" s="188">
        <f t="shared" si="14"/>
        <v>52549.199562499998</v>
      </c>
      <c r="J33" s="188">
        <f t="shared" si="14"/>
        <v>52549.199562499998</v>
      </c>
      <c r="K33" s="188">
        <f t="shared" si="14"/>
        <v>52549.199562499998</v>
      </c>
      <c r="L33" s="188">
        <f t="shared" si="14"/>
        <v>52549.199562499998</v>
      </c>
      <c r="M33" s="188">
        <f t="shared" si="14"/>
        <v>52549.199562499998</v>
      </c>
      <c r="N33" s="188">
        <f t="shared" si="14"/>
        <v>52549.199562499998</v>
      </c>
      <c r="O33" s="188">
        <f t="shared" si="14"/>
        <v>52549.199562499998</v>
      </c>
      <c r="P33" s="188">
        <f t="shared" si="14"/>
        <v>52549.199562499998</v>
      </c>
      <c r="Q33" s="68">
        <v>0</v>
      </c>
      <c r="R33" s="41"/>
      <c r="S33" s="332">
        <f t="shared" si="15"/>
        <v>630590.39474999998</v>
      </c>
      <c r="T33" s="41"/>
      <c r="U33" s="362">
        <f t="shared" si="2"/>
        <v>420393.59649999999</v>
      </c>
      <c r="V33" s="41"/>
      <c r="W33" s="37">
        <f>624110.39475+6480</f>
        <v>630590.39474999998</v>
      </c>
    </row>
    <row r="34" spans="3:23" s="37" customFormat="1" ht="12" x14ac:dyDescent="0.2">
      <c r="C34" s="199">
        <v>6127</v>
      </c>
      <c r="D34" s="37" t="s">
        <v>229</v>
      </c>
      <c r="E34" s="188">
        <f t="shared" si="14"/>
        <v>2520.5555555555557</v>
      </c>
      <c r="F34" s="188">
        <f t="shared" si="14"/>
        <v>2520.5555555555557</v>
      </c>
      <c r="G34" s="188">
        <f t="shared" si="14"/>
        <v>2520.5555555555557</v>
      </c>
      <c r="H34" s="188">
        <f t="shared" si="14"/>
        <v>2520.5555555555557</v>
      </c>
      <c r="I34" s="188">
        <f t="shared" si="14"/>
        <v>2520.5555555555557</v>
      </c>
      <c r="J34" s="188">
        <f t="shared" si="14"/>
        <v>2520.5555555555557</v>
      </c>
      <c r="K34" s="188">
        <f t="shared" si="14"/>
        <v>2520.5555555555557</v>
      </c>
      <c r="L34" s="188">
        <f t="shared" si="14"/>
        <v>2520.5555555555557</v>
      </c>
      <c r="M34" s="188">
        <f t="shared" si="14"/>
        <v>2520.5555555555557</v>
      </c>
      <c r="N34" s="188">
        <f t="shared" si="14"/>
        <v>2520.5555555555557</v>
      </c>
      <c r="O34" s="188">
        <f t="shared" si="14"/>
        <v>2520.5555555555557</v>
      </c>
      <c r="P34" s="188">
        <f t="shared" si="14"/>
        <v>2520.5555555555557</v>
      </c>
      <c r="Q34" s="68">
        <v>0</v>
      </c>
      <c r="R34" s="41"/>
      <c r="S34" s="332">
        <f t="shared" si="15"/>
        <v>30246.666666666661</v>
      </c>
      <c r="T34" s="41"/>
      <c r="U34" s="362">
        <f t="shared" si="2"/>
        <v>20164.444444444442</v>
      </c>
      <c r="V34" s="41"/>
      <c r="W34" s="37">
        <v>30246.666666666668</v>
      </c>
    </row>
    <row r="35" spans="3:23" s="37" customFormat="1" ht="12" x14ac:dyDescent="0.2">
      <c r="C35" s="199">
        <v>6151</v>
      </c>
      <c r="D35" s="37" t="s">
        <v>189</v>
      </c>
      <c r="E35" s="188">
        <f t="shared" si="14"/>
        <v>0</v>
      </c>
      <c r="F35" s="188">
        <f t="shared" si="14"/>
        <v>0</v>
      </c>
      <c r="G35" s="188">
        <f t="shared" si="14"/>
        <v>0</v>
      </c>
      <c r="H35" s="188">
        <f t="shared" si="14"/>
        <v>0</v>
      </c>
      <c r="I35" s="188">
        <f t="shared" si="14"/>
        <v>0</v>
      </c>
      <c r="J35" s="188">
        <f t="shared" si="14"/>
        <v>0</v>
      </c>
      <c r="K35" s="188">
        <f t="shared" si="14"/>
        <v>0</v>
      </c>
      <c r="L35" s="188">
        <f t="shared" si="14"/>
        <v>0</v>
      </c>
      <c r="M35" s="188">
        <f t="shared" si="14"/>
        <v>0</v>
      </c>
      <c r="N35" s="188">
        <f t="shared" si="14"/>
        <v>0</v>
      </c>
      <c r="O35" s="188">
        <f t="shared" si="14"/>
        <v>0</v>
      </c>
      <c r="P35" s="188">
        <f t="shared" si="14"/>
        <v>0</v>
      </c>
      <c r="Q35" s="68">
        <v>0</v>
      </c>
      <c r="R35" s="41"/>
      <c r="S35" s="332">
        <f t="shared" si="15"/>
        <v>0</v>
      </c>
      <c r="T35" s="41"/>
      <c r="U35" s="362">
        <f t="shared" si="2"/>
        <v>0</v>
      </c>
      <c r="V35" s="41"/>
    </row>
    <row r="36" spans="3:23" s="37" customFormat="1" ht="12" x14ac:dyDescent="0.2">
      <c r="C36" s="199">
        <v>6154</v>
      </c>
      <c r="D36" s="37" t="s">
        <v>190</v>
      </c>
      <c r="E36" s="188">
        <f t="shared" si="14"/>
        <v>625</v>
      </c>
      <c r="F36" s="188">
        <f t="shared" si="14"/>
        <v>625</v>
      </c>
      <c r="G36" s="188">
        <f t="shared" si="14"/>
        <v>625</v>
      </c>
      <c r="H36" s="188">
        <f t="shared" si="14"/>
        <v>625</v>
      </c>
      <c r="I36" s="188">
        <f t="shared" si="14"/>
        <v>625</v>
      </c>
      <c r="J36" s="188">
        <f t="shared" si="14"/>
        <v>625</v>
      </c>
      <c r="K36" s="188">
        <f t="shared" si="14"/>
        <v>625</v>
      </c>
      <c r="L36" s="188">
        <f t="shared" si="14"/>
        <v>625</v>
      </c>
      <c r="M36" s="188">
        <f t="shared" si="14"/>
        <v>625</v>
      </c>
      <c r="N36" s="188">
        <f t="shared" si="14"/>
        <v>625</v>
      </c>
      <c r="O36" s="188">
        <f t="shared" si="14"/>
        <v>625</v>
      </c>
      <c r="P36" s="188">
        <f t="shared" si="14"/>
        <v>625</v>
      </c>
      <c r="Q36" s="68">
        <v>0</v>
      </c>
      <c r="R36" s="41"/>
      <c r="S36" s="332">
        <f t="shared" si="15"/>
        <v>7500</v>
      </c>
      <c r="T36" s="41"/>
      <c r="U36" s="362">
        <f t="shared" si="2"/>
        <v>5000</v>
      </c>
      <c r="V36" s="41"/>
      <c r="W36" s="37">
        <v>7500</v>
      </c>
    </row>
    <row r="37" spans="3:23" s="37" customFormat="1" ht="12" x14ac:dyDescent="0.2">
      <c r="C37" s="199">
        <v>6157</v>
      </c>
      <c r="D37" s="37" t="s">
        <v>230</v>
      </c>
      <c r="E37" s="188">
        <f t="shared" si="14"/>
        <v>4000.5</v>
      </c>
      <c r="F37" s="188">
        <f t="shared" si="14"/>
        <v>4000.5</v>
      </c>
      <c r="G37" s="188">
        <f t="shared" si="14"/>
        <v>4000.5</v>
      </c>
      <c r="H37" s="188">
        <f t="shared" si="14"/>
        <v>4000.5</v>
      </c>
      <c r="I37" s="188">
        <f t="shared" si="14"/>
        <v>4000.5</v>
      </c>
      <c r="J37" s="188">
        <f t="shared" si="14"/>
        <v>4000.5</v>
      </c>
      <c r="K37" s="188">
        <f t="shared" si="14"/>
        <v>4000.5</v>
      </c>
      <c r="L37" s="188">
        <f t="shared" si="14"/>
        <v>4000.5</v>
      </c>
      <c r="M37" s="188">
        <f t="shared" si="14"/>
        <v>4000.5</v>
      </c>
      <c r="N37" s="188">
        <f t="shared" si="14"/>
        <v>4000.5</v>
      </c>
      <c r="O37" s="188">
        <f t="shared" si="14"/>
        <v>4000.5</v>
      </c>
      <c r="P37" s="188">
        <f t="shared" si="14"/>
        <v>4000.5</v>
      </c>
      <c r="Q37" s="68">
        <v>0</v>
      </c>
      <c r="R37" s="41"/>
      <c r="S37" s="332">
        <f t="shared" si="15"/>
        <v>48006</v>
      </c>
      <c r="T37" s="41"/>
      <c r="U37" s="362">
        <f t="shared" si="2"/>
        <v>32004</v>
      </c>
      <c r="V37" s="41"/>
      <c r="W37" s="37">
        <v>48006</v>
      </c>
    </row>
    <row r="38" spans="3:23" s="37" customFormat="1" ht="12" x14ac:dyDescent="0.2">
      <c r="C38" s="199">
        <v>6161</v>
      </c>
      <c r="D38" s="37" t="s">
        <v>97</v>
      </c>
      <c r="E38" s="188">
        <f t="shared" si="14"/>
        <v>0</v>
      </c>
      <c r="F38" s="188">
        <f t="shared" si="14"/>
        <v>0</v>
      </c>
      <c r="G38" s="188">
        <f t="shared" si="14"/>
        <v>0</v>
      </c>
      <c r="H38" s="188">
        <f t="shared" si="14"/>
        <v>0</v>
      </c>
      <c r="I38" s="188">
        <f t="shared" si="14"/>
        <v>0</v>
      </c>
      <c r="J38" s="188">
        <f t="shared" si="14"/>
        <v>0</v>
      </c>
      <c r="K38" s="188">
        <f t="shared" si="14"/>
        <v>0</v>
      </c>
      <c r="L38" s="188">
        <f t="shared" si="14"/>
        <v>0</v>
      </c>
      <c r="M38" s="188">
        <f t="shared" si="14"/>
        <v>0</v>
      </c>
      <c r="N38" s="188">
        <f t="shared" si="14"/>
        <v>0</v>
      </c>
      <c r="O38" s="188">
        <f t="shared" si="14"/>
        <v>0</v>
      </c>
      <c r="P38" s="188">
        <f t="shared" si="14"/>
        <v>0</v>
      </c>
      <c r="Q38" s="68">
        <v>0</v>
      </c>
      <c r="R38" s="41"/>
      <c r="S38" s="332">
        <f t="shared" si="15"/>
        <v>0</v>
      </c>
      <c r="T38" s="41"/>
      <c r="U38" s="362">
        <f t="shared" si="2"/>
        <v>0</v>
      </c>
      <c r="V38" s="41"/>
    </row>
    <row r="39" spans="3:23" s="37" customFormat="1" ht="12" x14ac:dyDescent="0.2">
      <c r="C39" s="199">
        <v>6164</v>
      </c>
      <c r="D39" s="37" t="s">
        <v>98</v>
      </c>
      <c r="E39" s="188">
        <f t="shared" si="14"/>
        <v>250</v>
      </c>
      <c r="F39" s="188">
        <f t="shared" si="14"/>
        <v>250</v>
      </c>
      <c r="G39" s="188">
        <f t="shared" si="14"/>
        <v>250</v>
      </c>
      <c r="H39" s="188">
        <f t="shared" si="14"/>
        <v>250</v>
      </c>
      <c r="I39" s="188">
        <f t="shared" si="14"/>
        <v>250</v>
      </c>
      <c r="J39" s="188">
        <f t="shared" si="14"/>
        <v>250</v>
      </c>
      <c r="K39" s="188">
        <f t="shared" si="14"/>
        <v>250</v>
      </c>
      <c r="L39" s="188">
        <f t="shared" si="14"/>
        <v>250</v>
      </c>
      <c r="M39" s="188">
        <f t="shared" si="14"/>
        <v>250</v>
      </c>
      <c r="N39" s="188">
        <f t="shared" si="14"/>
        <v>250</v>
      </c>
      <c r="O39" s="188">
        <f t="shared" si="14"/>
        <v>250</v>
      </c>
      <c r="P39" s="188">
        <f t="shared" si="14"/>
        <v>250</v>
      </c>
      <c r="Q39" s="68">
        <v>0</v>
      </c>
      <c r="R39" s="41"/>
      <c r="S39" s="332">
        <f t="shared" si="15"/>
        <v>3000</v>
      </c>
      <c r="T39" s="41"/>
      <c r="U39" s="362">
        <f t="shared" si="2"/>
        <v>2000</v>
      </c>
      <c r="V39" s="41"/>
      <c r="W39" s="37">
        <v>3000</v>
      </c>
    </row>
    <row r="40" spans="3:23" s="37" customFormat="1" ht="12" x14ac:dyDescent="0.2">
      <c r="C40" s="199">
        <v>6167</v>
      </c>
      <c r="D40" s="37" t="s">
        <v>231</v>
      </c>
      <c r="E40" s="188">
        <f t="shared" si="14"/>
        <v>583.33333333333337</v>
      </c>
      <c r="F40" s="188">
        <f t="shared" si="14"/>
        <v>583.33333333333337</v>
      </c>
      <c r="G40" s="188">
        <f t="shared" si="14"/>
        <v>583.33333333333337</v>
      </c>
      <c r="H40" s="188">
        <f t="shared" si="14"/>
        <v>583.33333333333337</v>
      </c>
      <c r="I40" s="188">
        <f t="shared" si="14"/>
        <v>583.33333333333337</v>
      </c>
      <c r="J40" s="188">
        <f t="shared" si="14"/>
        <v>583.33333333333337</v>
      </c>
      <c r="K40" s="188">
        <f t="shared" si="14"/>
        <v>583.33333333333337</v>
      </c>
      <c r="L40" s="188">
        <f t="shared" si="14"/>
        <v>583.33333333333337</v>
      </c>
      <c r="M40" s="188">
        <f t="shared" si="14"/>
        <v>583.33333333333337</v>
      </c>
      <c r="N40" s="188">
        <f t="shared" si="14"/>
        <v>583.33333333333337</v>
      </c>
      <c r="O40" s="188">
        <f t="shared" si="14"/>
        <v>583.33333333333337</v>
      </c>
      <c r="P40" s="188">
        <f t="shared" si="14"/>
        <v>583.33333333333337</v>
      </c>
      <c r="Q40" s="68">
        <v>0</v>
      </c>
      <c r="R40" s="41"/>
      <c r="S40" s="332">
        <f t="shared" si="15"/>
        <v>6999.9999999999991</v>
      </c>
      <c r="T40" s="41"/>
      <c r="U40" s="362">
        <f t="shared" si="2"/>
        <v>4666.666666666667</v>
      </c>
      <c r="V40" s="41"/>
      <c r="W40" s="37">
        <v>7000</v>
      </c>
    </row>
    <row r="41" spans="3:23" s="37" customFormat="1" ht="12" x14ac:dyDescent="0.2">
      <c r="C41" s="38"/>
      <c r="E41" s="73">
        <f t="shared" ref="E41:Q41" si="16">SUBTOTAL(9,E31:E40)</f>
        <v>80820.25511805556</v>
      </c>
      <c r="F41" s="73">
        <f t="shared" si="16"/>
        <v>80820.25511805556</v>
      </c>
      <c r="G41" s="73">
        <f t="shared" si="16"/>
        <v>80820.25511805556</v>
      </c>
      <c r="H41" s="73">
        <f t="shared" si="16"/>
        <v>80820.25511805556</v>
      </c>
      <c r="I41" s="73">
        <f t="shared" si="16"/>
        <v>80820.25511805556</v>
      </c>
      <c r="J41" s="73">
        <f t="shared" si="16"/>
        <v>80820.25511805556</v>
      </c>
      <c r="K41" s="73">
        <f t="shared" si="16"/>
        <v>80820.25511805556</v>
      </c>
      <c r="L41" s="73">
        <f t="shared" si="16"/>
        <v>80820.25511805556</v>
      </c>
      <c r="M41" s="73">
        <f t="shared" si="16"/>
        <v>80820.25511805556</v>
      </c>
      <c r="N41" s="73">
        <f t="shared" si="16"/>
        <v>80820.25511805556</v>
      </c>
      <c r="O41" s="73">
        <f t="shared" si="16"/>
        <v>80820.25511805556</v>
      </c>
      <c r="P41" s="73">
        <f t="shared" si="16"/>
        <v>80820.25511805556</v>
      </c>
      <c r="Q41" s="73">
        <f t="shared" si="16"/>
        <v>0</v>
      </c>
      <c r="R41" s="41"/>
      <c r="S41" s="333">
        <f>SUBTOTAL(9,S31:S40)</f>
        <v>969843.06141666661</v>
      </c>
      <c r="T41" s="41"/>
      <c r="U41" s="363">
        <f t="shared" si="2"/>
        <v>646562.04094444448</v>
      </c>
      <c r="V41" s="41"/>
    </row>
    <row r="42" spans="3:23" s="37" customFormat="1" ht="12" x14ac:dyDescent="0.2">
      <c r="C42" s="49" t="s">
        <v>99</v>
      </c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41"/>
      <c r="S42" s="332"/>
      <c r="T42" s="41"/>
      <c r="U42" s="362">
        <f t="shared" si="2"/>
        <v>0</v>
      </c>
      <c r="V42" s="41"/>
    </row>
    <row r="43" spans="3:23" s="37" customFormat="1" ht="12" x14ac:dyDescent="0.2">
      <c r="C43" s="199">
        <v>6211</v>
      </c>
      <c r="D43" s="37" t="s">
        <v>198</v>
      </c>
      <c r="E43" s="188">
        <f t="shared" ref="E43:P61" si="17">$W43/12</f>
        <v>0</v>
      </c>
      <c r="F43" s="188">
        <f t="shared" si="17"/>
        <v>0</v>
      </c>
      <c r="G43" s="188">
        <f t="shared" si="17"/>
        <v>0</v>
      </c>
      <c r="H43" s="188">
        <f t="shared" si="17"/>
        <v>0</v>
      </c>
      <c r="I43" s="188">
        <f t="shared" si="17"/>
        <v>0</v>
      </c>
      <c r="J43" s="188">
        <f t="shared" si="17"/>
        <v>0</v>
      </c>
      <c r="K43" s="188">
        <f t="shared" si="17"/>
        <v>0</v>
      </c>
      <c r="L43" s="188">
        <f t="shared" si="17"/>
        <v>0</v>
      </c>
      <c r="M43" s="188">
        <f t="shared" si="17"/>
        <v>0</v>
      </c>
      <c r="N43" s="188">
        <f t="shared" si="17"/>
        <v>0</v>
      </c>
      <c r="O43" s="188">
        <f t="shared" si="17"/>
        <v>0</v>
      </c>
      <c r="P43" s="188">
        <f t="shared" si="17"/>
        <v>0</v>
      </c>
      <c r="Q43" s="68">
        <v>0</v>
      </c>
      <c r="R43" s="41"/>
      <c r="S43" s="332">
        <f>SUM(E43:Q43)</f>
        <v>0</v>
      </c>
      <c r="T43" s="41"/>
      <c r="U43" s="362">
        <f t="shared" si="2"/>
        <v>0</v>
      </c>
      <c r="V43" s="41"/>
    </row>
    <row r="44" spans="3:23" s="37" customFormat="1" ht="12" x14ac:dyDescent="0.2">
      <c r="C44" s="199">
        <v>6214</v>
      </c>
      <c r="D44" s="37" t="s">
        <v>199</v>
      </c>
      <c r="E44" s="188">
        <f t="shared" si="17"/>
        <v>168</v>
      </c>
      <c r="F44" s="188">
        <f t="shared" si="17"/>
        <v>168</v>
      </c>
      <c r="G44" s="188">
        <f t="shared" si="17"/>
        <v>168</v>
      </c>
      <c r="H44" s="188">
        <f t="shared" si="17"/>
        <v>168</v>
      </c>
      <c r="I44" s="188">
        <f t="shared" si="17"/>
        <v>168</v>
      </c>
      <c r="J44" s="188">
        <f t="shared" si="17"/>
        <v>168</v>
      </c>
      <c r="K44" s="188">
        <f t="shared" si="17"/>
        <v>168</v>
      </c>
      <c r="L44" s="188">
        <f t="shared" si="17"/>
        <v>168</v>
      </c>
      <c r="M44" s="188">
        <f t="shared" si="17"/>
        <v>168</v>
      </c>
      <c r="N44" s="188">
        <f t="shared" si="17"/>
        <v>168</v>
      </c>
      <c r="O44" s="188">
        <f t="shared" si="17"/>
        <v>168</v>
      </c>
      <c r="P44" s="188">
        <f t="shared" si="17"/>
        <v>168</v>
      </c>
      <c r="Q44" s="68">
        <v>0</v>
      </c>
      <c r="R44" s="41"/>
      <c r="S44" s="332">
        <f t="shared" ref="S44:S61" si="18">SUM(E44:Q44)</f>
        <v>2016</v>
      </c>
      <c r="T44" s="41"/>
      <c r="U44" s="362">
        <f t="shared" si="2"/>
        <v>1344</v>
      </c>
      <c r="V44" s="41"/>
      <c r="W44" s="37">
        <v>2016</v>
      </c>
    </row>
    <row r="45" spans="3:23" s="37" customFormat="1" ht="12" x14ac:dyDescent="0.2">
      <c r="C45" s="199">
        <v>6217</v>
      </c>
      <c r="D45" s="37" t="s">
        <v>222</v>
      </c>
      <c r="E45" s="188">
        <f t="shared" si="17"/>
        <v>298.5</v>
      </c>
      <c r="F45" s="188">
        <f t="shared" si="17"/>
        <v>298.5</v>
      </c>
      <c r="G45" s="188">
        <f t="shared" si="17"/>
        <v>298.5</v>
      </c>
      <c r="H45" s="188">
        <f t="shared" si="17"/>
        <v>298.5</v>
      </c>
      <c r="I45" s="188">
        <f t="shared" si="17"/>
        <v>298.5</v>
      </c>
      <c r="J45" s="188">
        <f t="shared" si="17"/>
        <v>298.5</v>
      </c>
      <c r="K45" s="188">
        <f t="shared" si="17"/>
        <v>298.5</v>
      </c>
      <c r="L45" s="188">
        <f t="shared" si="17"/>
        <v>298.5</v>
      </c>
      <c r="M45" s="188">
        <f t="shared" si="17"/>
        <v>298.5</v>
      </c>
      <c r="N45" s="188">
        <f t="shared" si="17"/>
        <v>298.5</v>
      </c>
      <c r="O45" s="188">
        <f t="shared" si="17"/>
        <v>298.5</v>
      </c>
      <c r="P45" s="188">
        <f t="shared" si="17"/>
        <v>298.5</v>
      </c>
      <c r="Q45" s="68">
        <v>0</v>
      </c>
      <c r="R45" s="41"/>
      <c r="S45" s="332">
        <f t="shared" si="18"/>
        <v>3582</v>
      </c>
      <c r="T45" s="41"/>
      <c r="U45" s="362">
        <f t="shared" si="2"/>
        <v>2388</v>
      </c>
      <c r="V45" s="41"/>
      <c r="W45" s="37">
        <v>3582</v>
      </c>
    </row>
    <row r="46" spans="3:23" s="37" customFormat="1" ht="12" x14ac:dyDescent="0.2">
      <c r="C46" s="199">
        <v>6227</v>
      </c>
      <c r="D46" s="37" t="s">
        <v>221</v>
      </c>
      <c r="E46" s="188">
        <f t="shared" si="17"/>
        <v>156.27444444444447</v>
      </c>
      <c r="F46" s="188">
        <f t="shared" si="17"/>
        <v>156.27444444444447</v>
      </c>
      <c r="G46" s="188">
        <f t="shared" si="17"/>
        <v>156.27444444444447</v>
      </c>
      <c r="H46" s="188">
        <f t="shared" si="17"/>
        <v>156.27444444444447</v>
      </c>
      <c r="I46" s="188">
        <f t="shared" si="17"/>
        <v>156.27444444444447</v>
      </c>
      <c r="J46" s="188">
        <f t="shared" si="17"/>
        <v>156.27444444444447</v>
      </c>
      <c r="K46" s="188">
        <f t="shared" si="17"/>
        <v>156.27444444444447</v>
      </c>
      <c r="L46" s="188">
        <f t="shared" si="17"/>
        <v>156.27444444444447</v>
      </c>
      <c r="M46" s="188">
        <f t="shared" si="17"/>
        <v>156.27444444444447</v>
      </c>
      <c r="N46" s="188">
        <f t="shared" si="17"/>
        <v>156.27444444444447</v>
      </c>
      <c r="O46" s="188">
        <f t="shared" si="17"/>
        <v>156.27444444444447</v>
      </c>
      <c r="P46" s="188">
        <f t="shared" si="17"/>
        <v>156.27444444444447</v>
      </c>
      <c r="Q46" s="68">
        <v>0</v>
      </c>
      <c r="R46" s="41"/>
      <c r="S46" s="332">
        <f t="shared" si="18"/>
        <v>1875.2933333333337</v>
      </c>
      <c r="T46" s="41"/>
      <c r="U46" s="362">
        <f t="shared" si="2"/>
        <v>1250.1955555555558</v>
      </c>
      <c r="V46" s="41"/>
      <c r="W46" s="37">
        <v>1875.2933333333335</v>
      </c>
    </row>
    <row r="47" spans="3:23" s="37" customFormat="1" ht="12" x14ac:dyDescent="0.2">
      <c r="C47" s="199">
        <v>6231</v>
      </c>
      <c r="D47" s="37" t="s">
        <v>205</v>
      </c>
      <c r="E47" s="188">
        <f t="shared" si="17"/>
        <v>0</v>
      </c>
      <c r="F47" s="188">
        <f t="shared" si="17"/>
        <v>0</v>
      </c>
      <c r="G47" s="188">
        <f t="shared" si="17"/>
        <v>0</v>
      </c>
      <c r="H47" s="188">
        <f t="shared" si="17"/>
        <v>0</v>
      </c>
      <c r="I47" s="188">
        <f t="shared" si="17"/>
        <v>0</v>
      </c>
      <c r="J47" s="188">
        <f t="shared" si="17"/>
        <v>0</v>
      </c>
      <c r="K47" s="188">
        <f t="shared" si="17"/>
        <v>0</v>
      </c>
      <c r="L47" s="188">
        <f t="shared" si="17"/>
        <v>0</v>
      </c>
      <c r="M47" s="188">
        <f t="shared" si="17"/>
        <v>0</v>
      </c>
      <c r="N47" s="188">
        <f t="shared" si="17"/>
        <v>0</v>
      </c>
      <c r="O47" s="188">
        <f t="shared" si="17"/>
        <v>0</v>
      </c>
      <c r="P47" s="188">
        <f t="shared" si="17"/>
        <v>0</v>
      </c>
      <c r="Q47" s="68">
        <v>0</v>
      </c>
      <c r="R47" s="41"/>
      <c r="S47" s="332">
        <f t="shared" si="18"/>
        <v>0</v>
      </c>
      <c r="T47" s="41"/>
      <c r="U47" s="362">
        <f t="shared" si="2"/>
        <v>0</v>
      </c>
      <c r="V47" s="41"/>
    </row>
    <row r="48" spans="3:23" s="37" customFormat="1" ht="12" x14ac:dyDescent="0.2">
      <c r="C48" s="199">
        <v>6234</v>
      </c>
      <c r="D48" s="37" t="s">
        <v>206</v>
      </c>
      <c r="E48" s="188">
        <f t="shared" si="17"/>
        <v>5935.3125</v>
      </c>
      <c r="F48" s="188">
        <f t="shared" si="17"/>
        <v>5935.3125</v>
      </c>
      <c r="G48" s="188">
        <f t="shared" si="17"/>
        <v>5935.3125</v>
      </c>
      <c r="H48" s="188">
        <f t="shared" si="17"/>
        <v>5935.3125</v>
      </c>
      <c r="I48" s="188">
        <f t="shared" si="17"/>
        <v>5935.3125</v>
      </c>
      <c r="J48" s="188">
        <f t="shared" si="17"/>
        <v>5935.3125</v>
      </c>
      <c r="K48" s="188">
        <f t="shared" si="17"/>
        <v>5935.3125</v>
      </c>
      <c r="L48" s="188">
        <f t="shared" si="17"/>
        <v>5935.3125</v>
      </c>
      <c r="M48" s="188">
        <f t="shared" si="17"/>
        <v>5935.3125</v>
      </c>
      <c r="N48" s="188">
        <f t="shared" si="17"/>
        <v>5935.3125</v>
      </c>
      <c r="O48" s="188">
        <f t="shared" si="17"/>
        <v>5935.3125</v>
      </c>
      <c r="P48" s="188">
        <f t="shared" si="17"/>
        <v>5935.3125</v>
      </c>
      <c r="Q48" s="68">
        <v>0</v>
      </c>
      <c r="R48" s="41"/>
      <c r="S48" s="332">
        <f t="shared" si="18"/>
        <v>71223.75</v>
      </c>
      <c r="T48" s="41"/>
      <c r="U48" s="362">
        <f t="shared" si="2"/>
        <v>47482.5</v>
      </c>
      <c r="V48" s="41"/>
      <c r="W48" s="37">
        <v>71223.75</v>
      </c>
    </row>
    <row r="49" spans="3:23" s="37" customFormat="1" ht="12" x14ac:dyDescent="0.2">
      <c r="C49" s="199">
        <v>6237</v>
      </c>
      <c r="D49" s="37" t="s">
        <v>223</v>
      </c>
      <c r="E49" s="188">
        <f t="shared" si="17"/>
        <v>11313.87949578125</v>
      </c>
      <c r="F49" s="188">
        <f t="shared" si="17"/>
        <v>11313.87949578125</v>
      </c>
      <c r="G49" s="188">
        <f t="shared" si="17"/>
        <v>11313.87949578125</v>
      </c>
      <c r="H49" s="188">
        <f t="shared" si="17"/>
        <v>11313.87949578125</v>
      </c>
      <c r="I49" s="188">
        <f t="shared" si="17"/>
        <v>11313.87949578125</v>
      </c>
      <c r="J49" s="188">
        <f t="shared" si="17"/>
        <v>11313.87949578125</v>
      </c>
      <c r="K49" s="188">
        <f t="shared" si="17"/>
        <v>11313.87949578125</v>
      </c>
      <c r="L49" s="188">
        <f t="shared" si="17"/>
        <v>11313.87949578125</v>
      </c>
      <c r="M49" s="188">
        <f t="shared" si="17"/>
        <v>11313.87949578125</v>
      </c>
      <c r="N49" s="188">
        <f t="shared" si="17"/>
        <v>11313.87949578125</v>
      </c>
      <c r="O49" s="188">
        <f t="shared" si="17"/>
        <v>11313.87949578125</v>
      </c>
      <c r="P49" s="188">
        <f t="shared" si="17"/>
        <v>11313.87949578125</v>
      </c>
      <c r="Q49" s="68">
        <v>0</v>
      </c>
      <c r="R49" s="41"/>
      <c r="S49" s="332">
        <f t="shared" si="18"/>
        <v>135766.553949375</v>
      </c>
      <c r="T49" s="41"/>
      <c r="U49" s="362">
        <f t="shared" si="2"/>
        <v>90511.035966249998</v>
      </c>
      <c r="V49" s="41"/>
      <c r="W49" s="37">
        <v>135766.553949375</v>
      </c>
    </row>
    <row r="50" spans="3:23" s="37" customFormat="1" ht="12" x14ac:dyDescent="0.2">
      <c r="C50" s="199">
        <v>6241</v>
      </c>
      <c r="D50" s="37" t="s">
        <v>196</v>
      </c>
      <c r="E50" s="188">
        <f t="shared" si="17"/>
        <v>0</v>
      </c>
      <c r="F50" s="188">
        <f t="shared" si="17"/>
        <v>0</v>
      </c>
      <c r="G50" s="188">
        <f t="shared" si="17"/>
        <v>0</v>
      </c>
      <c r="H50" s="188">
        <f t="shared" si="17"/>
        <v>0</v>
      </c>
      <c r="I50" s="188">
        <f t="shared" si="17"/>
        <v>0</v>
      </c>
      <c r="J50" s="188">
        <f t="shared" si="17"/>
        <v>0</v>
      </c>
      <c r="K50" s="188">
        <f t="shared" si="17"/>
        <v>0</v>
      </c>
      <c r="L50" s="188">
        <f t="shared" si="17"/>
        <v>0</v>
      </c>
      <c r="M50" s="188">
        <f t="shared" si="17"/>
        <v>0</v>
      </c>
      <c r="N50" s="188">
        <f t="shared" si="17"/>
        <v>0</v>
      </c>
      <c r="O50" s="188">
        <f t="shared" si="17"/>
        <v>0</v>
      </c>
      <c r="P50" s="188">
        <f t="shared" si="17"/>
        <v>0</v>
      </c>
      <c r="Q50" s="68">
        <v>0</v>
      </c>
      <c r="R50" s="41"/>
      <c r="S50" s="332">
        <f t="shared" si="18"/>
        <v>0</v>
      </c>
      <c r="T50" s="41"/>
      <c r="U50" s="362">
        <f t="shared" si="2"/>
        <v>0</v>
      </c>
      <c r="V50" s="41"/>
    </row>
    <row r="51" spans="3:23" s="37" customFormat="1" ht="12" x14ac:dyDescent="0.2">
      <c r="C51" s="199">
        <v>6244</v>
      </c>
      <c r="D51" s="37" t="s">
        <v>197</v>
      </c>
      <c r="E51" s="188">
        <f t="shared" si="17"/>
        <v>297.85416666666669</v>
      </c>
      <c r="F51" s="188">
        <f t="shared" si="17"/>
        <v>297.85416666666669</v>
      </c>
      <c r="G51" s="188">
        <f t="shared" si="17"/>
        <v>297.85416666666669</v>
      </c>
      <c r="H51" s="188">
        <f t="shared" si="17"/>
        <v>297.85416666666669</v>
      </c>
      <c r="I51" s="188">
        <f t="shared" si="17"/>
        <v>297.85416666666669</v>
      </c>
      <c r="J51" s="188">
        <f t="shared" si="17"/>
        <v>297.85416666666669</v>
      </c>
      <c r="K51" s="188">
        <f t="shared" si="17"/>
        <v>297.85416666666669</v>
      </c>
      <c r="L51" s="188">
        <f t="shared" si="17"/>
        <v>297.85416666666669</v>
      </c>
      <c r="M51" s="188">
        <f t="shared" si="17"/>
        <v>297.85416666666669</v>
      </c>
      <c r="N51" s="188">
        <f t="shared" si="17"/>
        <v>297.85416666666669</v>
      </c>
      <c r="O51" s="188">
        <f t="shared" si="17"/>
        <v>297.85416666666669</v>
      </c>
      <c r="P51" s="188">
        <f t="shared" si="17"/>
        <v>297.85416666666669</v>
      </c>
      <c r="Q51" s="68">
        <v>0</v>
      </c>
      <c r="R51" s="41"/>
      <c r="S51" s="332">
        <f t="shared" si="18"/>
        <v>3574.2499999999995</v>
      </c>
      <c r="T51" s="41"/>
      <c r="U51" s="362">
        <f t="shared" si="2"/>
        <v>2382.8333333333335</v>
      </c>
      <c r="V51" s="41"/>
      <c r="W51" s="37">
        <v>3574.25</v>
      </c>
    </row>
    <row r="52" spans="3:23" s="37" customFormat="1" ht="12" x14ac:dyDescent="0.2">
      <c r="C52" s="199">
        <v>6247</v>
      </c>
      <c r="D52" s="37" t="s">
        <v>224</v>
      </c>
      <c r="E52" s="188">
        <f t="shared" si="17"/>
        <v>840.26564365625006</v>
      </c>
      <c r="F52" s="188">
        <f t="shared" si="17"/>
        <v>840.26564365625006</v>
      </c>
      <c r="G52" s="188">
        <f t="shared" si="17"/>
        <v>840.26564365625006</v>
      </c>
      <c r="H52" s="188">
        <f t="shared" si="17"/>
        <v>840.26564365625006</v>
      </c>
      <c r="I52" s="188">
        <f t="shared" si="17"/>
        <v>840.26564365625006</v>
      </c>
      <c r="J52" s="188">
        <f t="shared" si="17"/>
        <v>840.26564365625006</v>
      </c>
      <c r="K52" s="188">
        <f t="shared" si="17"/>
        <v>840.26564365625006</v>
      </c>
      <c r="L52" s="188">
        <f t="shared" si="17"/>
        <v>840.26564365625006</v>
      </c>
      <c r="M52" s="188">
        <f t="shared" si="17"/>
        <v>840.26564365625006</v>
      </c>
      <c r="N52" s="188">
        <f t="shared" si="17"/>
        <v>840.26564365625006</v>
      </c>
      <c r="O52" s="188">
        <f t="shared" si="17"/>
        <v>840.26564365625006</v>
      </c>
      <c r="P52" s="188">
        <f t="shared" si="17"/>
        <v>840.26564365625006</v>
      </c>
      <c r="Q52" s="68">
        <v>0</v>
      </c>
      <c r="R52" s="41"/>
      <c r="S52" s="332">
        <f t="shared" si="18"/>
        <v>10083.187723875</v>
      </c>
      <c r="T52" s="41"/>
      <c r="U52" s="362">
        <f t="shared" si="2"/>
        <v>6722.1251492500005</v>
      </c>
      <c r="V52" s="41"/>
      <c r="W52" s="37">
        <f>9644.187723875+439</f>
        <v>10083.187723875</v>
      </c>
    </row>
    <row r="53" spans="3:23" s="37" customFormat="1" ht="12" x14ac:dyDescent="0.2">
      <c r="C53" s="199">
        <v>6261</v>
      </c>
      <c r="D53" s="37" t="s">
        <v>207</v>
      </c>
      <c r="E53" s="188">
        <f t="shared" si="17"/>
        <v>0</v>
      </c>
      <c r="F53" s="188">
        <f t="shared" si="17"/>
        <v>0</v>
      </c>
      <c r="G53" s="188">
        <f t="shared" si="17"/>
        <v>0</v>
      </c>
      <c r="H53" s="188">
        <f t="shared" si="17"/>
        <v>0</v>
      </c>
      <c r="I53" s="188">
        <f t="shared" si="17"/>
        <v>0</v>
      </c>
      <c r="J53" s="188">
        <f t="shared" si="17"/>
        <v>0</v>
      </c>
      <c r="K53" s="188">
        <f t="shared" si="17"/>
        <v>0</v>
      </c>
      <c r="L53" s="188">
        <f t="shared" si="17"/>
        <v>0</v>
      </c>
      <c r="M53" s="188">
        <f t="shared" si="17"/>
        <v>0</v>
      </c>
      <c r="N53" s="188">
        <f t="shared" si="17"/>
        <v>0</v>
      </c>
      <c r="O53" s="188">
        <f t="shared" si="17"/>
        <v>0</v>
      </c>
      <c r="P53" s="188">
        <f t="shared" si="17"/>
        <v>0</v>
      </c>
      <c r="Q53" s="68">
        <v>0</v>
      </c>
      <c r="R53" s="41"/>
      <c r="S53" s="332">
        <f t="shared" si="18"/>
        <v>0</v>
      </c>
      <c r="T53" s="41"/>
      <c r="U53" s="362">
        <f t="shared" si="2"/>
        <v>0</v>
      </c>
      <c r="V53" s="41"/>
    </row>
    <row r="54" spans="3:23" s="37" customFormat="1" ht="12" x14ac:dyDescent="0.2">
      <c r="C54" s="199">
        <v>6264</v>
      </c>
      <c r="D54" s="37" t="s">
        <v>208</v>
      </c>
      <c r="E54" s="188">
        <f t="shared" si="17"/>
        <v>78</v>
      </c>
      <c r="F54" s="188">
        <f t="shared" si="17"/>
        <v>78</v>
      </c>
      <c r="G54" s="188">
        <f t="shared" si="17"/>
        <v>78</v>
      </c>
      <c r="H54" s="188">
        <f t="shared" si="17"/>
        <v>78</v>
      </c>
      <c r="I54" s="188">
        <f t="shared" si="17"/>
        <v>78</v>
      </c>
      <c r="J54" s="188">
        <f t="shared" si="17"/>
        <v>78</v>
      </c>
      <c r="K54" s="188">
        <f t="shared" si="17"/>
        <v>78</v>
      </c>
      <c r="L54" s="188">
        <f t="shared" si="17"/>
        <v>78</v>
      </c>
      <c r="M54" s="188">
        <f t="shared" si="17"/>
        <v>78</v>
      </c>
      <c r="N54" s="188">
        <f t="shared" si="17"/>
        <v>78</v>
      </c>
      <c r="O54" s="188">
        <f t="shared" si="17"/>
        <v>78</v>
      </c>
      <c r="P54" s="188">
        <f t="shared" si="17"/>
        <v>78</v>
      </c>
      <c r="Q54" s="68">
        <v>0</v>
      </c>
      <c r="R54" s="41"/>
      <c r="S54" s="332">
        <f t="shared" si="18"/>
        <v>936</v>
      </c>
      <c r="T54" s="41"/>
      <c r="U54" s="362">
        <f t="shared" si="2"/>
        <v>624</v>
      </c>
      <c r="V54" s="41"/>
      <c r="W54" s="37">
        <v>936</v>
      </c>
    </row>
    <row r="55" spans="3:23" s="37" customFormat="1" ht="12" x14ac:dyDescent="0.2">
      <c r="C55" s="199">
        <v>6267</v>
      </c>
      <c r="D55" s="37" t="s">
        <v>225</v>
      </c>
      <c r="E55" s="188">
        <f t="shared" si="17"/>
        <v>520.83333333333337</v>
      </c>
      <c r="F55" s="188">
        <f t="shared" si="17"/>
        <v>520.83333333333337</v>
      </c>
      <c r="G55" s="188">
        <f t="shared" si="17"/>
        <v>520.83333333333337</v>
      </c>
      <c r="H55" s="188">
        <f t="shared" si="17"/>
        <v>520.83333333333337</v>
      </c>
      <c r="I55" s="188">
        <f t="shared" si="17"/>
        <v>520.83333333333337</v>
      </c>
      <c r="J55" s="188">
        <f t="shared" si="17"/>
        <v>520.83333333333337</v>
      </c>
      <c r="K55" s="188">
        <f t="shared" si="17"/>
        <v>520.83333333333337</v>
      </c>
      <c r="L55" s="188">
        <f t="shared" si="17"/>
        <v>520.83333333333337</v>
      </c>
      <c r="M55" s="188">
        <f t="shared" si="17"/>
        <v>520.83333333333337</v>
      </c>
      <c r="N55" s="188">
        <f t="shared" si="17"/>
        <v>520.83333333333337</v>
      </c>
      <c r="O55" s="188">
        <f t="shared" si="17"/>
        <v>520.83333333333337</v>
      </c>
      <c r="P55" s="188">
        <f t="shared" si="17"/>
        <v>520.83333333333337</v>
      </c>
      <c r="Q55" s="68">
        <v>0</v>
      </c>
      <c r="R55" s="41"/>
      <c r="S55" s="332">
        <f t="shared" si="18"/>
        <v>6249.9999999999991</v>
      </c>
      <c r="T55" s="41"/>
      <c r="U55" s="362">
        <f t="shared" si="2"/>
        <v>4166.666666666667</v>
      </c>
      <c r="V55" s="41"/>
      <c r="W55" s="37">
        <f>5796+454</f>
        <v>6250</v>
      </c>
    </row>
    <row r="56" spans="3:23" s="37" customFormat="1" ht="12" x14ac:dyDescent="0.2">
      <c r="C56" s="199">
        <v>6271</v>
      </c>
      <c r="D56" s="37" t="s">
        <v>209</v>
      </c>
      <c r="E56" s="188">
        <f t="shared" si="17"/>
        <v>0</v>
      </c>
      <c r="F56" s="188">
        <f t="shared" si="17"/>
        <v>0</v>
      </c>
      <c r="G56" s="188">
        <f t="shared" si="17"/>
        <v>0</v>
      </c>
      <c r="H56" s="188">
        <f t="shared" si="17"/>
        <v>0</v>
      </c>
      <c r="I56" s="188">
        <f t="shared" si="17"/>
        <v>0</v>
      </c>
      <c r="J56" s="188">
        <f t="shared" si="17"/>
        <v>0</v>
      </c>
      <c r="K56" s="188">
        <f t="shared" si="17"/>
        <v>0</v>
      </c>
      <c r="L56" s="188">
        <f t="shared" si="17"/>
        <v>0</v>
      </c>
      <c r="M56" s="188">
        <f t="shared" si="17"/>
        <v>0</v>
      </c>
      <c r="N56" s="188">
        <f t="shared" si="17"/>
        <v>0</v>
      </c>
      <c r="O56" s="188">
        <f t="shared" si="17"/>
        <v>0</v>
      </c>
      <c r="P56" s="188">
        <f t="shared" si="17"/>
        <v>0</v>
      </c>
      <c r="Q56" s="68">
        <v>0</v>
      </c>
      <c r="R56" s="41"/>
      <c r="S56" s="332">
        <f t="shared" si="18"/>
        <v>0</v>
      </c>
      <c r="T56" s="41"/>
      <c r="U56" s="362">
        <f t="shared" si="2"/>
        <v>0</v>
      </c>
      <c r="V56" s="41"/>
    </row>
    <row r="57" spans="3:23" s="37" customFormat="1" ht="12" x14ac:dyDescent="0.2">
      <c r="C57" s="199">
        <v>6274</v>
      </c>
      <c r="D57" s="37" t="s">
        <v>210</v>
      </c>
      <c r="E57" s="188">
        <f t="shared" si="17"/>
        <v>133.52083333333334</v>
      </c>
      <c r="F57" s="188">
        <f t="shared" si="17"/>
        <v>133.52083333333334</v>
      </c>
      <c r="G57" s="188">
        <f t="shared" si="17"/>
        <v>133.52083333333334</v>
      </c>
      <c r="H57" s="188">
        <f t="shared" si="17"/>
        <v>133.52083333333334</v>
      </c>
      <c r="I57" s="188">
        <f t="shared" si="17"/>
        <v>133.52083333333334</v>
      </c>
      <c r="J57" s="188">
        <f t="shared" si="17"/>
        <v>133.52083333333334</v>
      </c>
      <c r="K57" s="188">
        <f t="shared" si="17"/>
        <v>133.52083333333334</v>
      </c>
      <c r="L57" s="188">
        <f t="shared" si="17"/>
        <v>133.52083333333334</v>
      </c>
      <c r="M57" s="188">
        <f t="shared" si="17"/>
        <v>133.52083333333334</v>
      </c>
      <c r="N57" s="188">
        <f t="shared" si="17"/>
        <v>133.52083333333334</v>
      </c>
      <c r="O57" s="188">
        <f t="shared" si="17"/>
        <v>133.52083333333334</v>
      </c>
      <c r="P57" s="188">
        <f t="shared" si="17"/>
        <v>133.52083333333334</v>
      </c>
      <c r="Q57" s="68">
        <v>0</v>
      </c>
      <c r="R57" s="41"/>
      <c r="S57" s="332">
        <f t="shared" si="18"/>
        <v>1602.2499999999998</v>
      </c>
      <c r="T57" s="41"/>
      <c r="U57" s="362">
        <f t="shared" si="2"/>
        <v>1068.1666666666667</v>
      </c>
      <c r="V57" s="41"/>
      <c r="W57" s="37">
        <v>1602.25</v>
      </c>
    </row>
    <row r="58" spans="3:23" s="37" customFormat="1" ht="12" x14ac:dyDescent="0.2">
      <c r="C58" s="199">
        <v>6277</v>
      </c>
      <c r="D58" s="37" t="s">
        <v>226</v>
      </c>
      <c r="E58" s="188">
        <f t="shared" si="17"/>
        <v>376.68804715624998</v>
      </c>
      <c r="F58" s="188">
        <f t="shared" si="17"/>
        <v>376.68804715624998</v>
      </c>
      <c r="G58" s="188">
        <f t="shared" si="17"/>
        <v>376.68804715624998</v>
      </c>
      <c r="H58" s="188">
        <f t="shared" si="17"/>
        <v>376.68804715624998</v>
      </c>
      <c r="I58" s="188">
        <f t="shared" si="17"/>
        <v>376.68804715624998</v>
      </c>
      <c r="J58" s="188">
        <f t="shared" si="17"/>
        <v>376.68804715624998</v>
      </c>
      <c r="K58" s="188">
        <f t="shared" si="17"/>
        <v>376.68804715624998</v>
      </c>
      <c r="L58" s="188">
        <f t="shared" si="17"/>
        <v>376.68804715624998</v>
      </c>
      <c r="M58" s="188">
        <f t="shared" si="17"/>
        <v>376.68804715624998</v>
      </c>
      <c r="N58" s="188">
        <f t="shared" si="17"/>
        <v>376.68804715624998</v>
      </c>
      <c r="O58" s="188">
        <f t="shared" si="17"/>
        <v>376.68804715624998</v>
      </c>
      <c r="P58" s="188">
        <f t="shared" si="17"/>
        <v>376.68804715624998</v>
      </c>
      <c r="Q58" s="68">
        <v>0</v>
      </c>
      <c r="R58" s="41"/>
      <c r="S58" s="332">
        <f t="shared" si="18"/>
        <v>4520.256565875</v>
      </c>
      <c r="T58" s="41"/>
      <c r="U58" s="362">
        <f t="shared" si="2"/>
        <v>3013.5043772499998</v>
      </c>
      <c r="V58" s="41"/>
      <c r="W58" s="37">
        <f>4323.256565875+197</f>
        <v>4520.256565875</v>
      </c>
    </row>
    <row r="59" spans="3:23" s="37" customFormat="1" ht="12" x14ac:dyDescent="0.2">
      <c r="C59" s="199">
        <v>6281</v>
      </c>
      <c r="D59" s="37" t="s">
        <v>193</v>
      </c>
      <c r="E59" s="188">
        <f t="shared" si="17"/>
        <v>0</v>
      </c>
      <c r="F59" s="188">
        <f t="shared" si="17"/>
        <v>0</v>
      </c>
      <c r="G59" s="188">
        <f t="shared" si="17"/>
        <v>0</v>
      </c>
      <c r="H59" s="188">
        <f t="shared" si="17"/>
        <v>0</v>
      </c>
      <c r="I59" s="188">
        <f t="shared" si="17"/>
        <v>0</v>
      </c>
      <c r="J59" s="188">
        <f t="shared" si="17"/>
        <v>0</v>
      </c>
      <c r="K59" s="188">
        <f t="shared" si="17"/>
        <v>0</v>
      </c>
      <c r="L59" s="188">
        <f t="shared" si="17"/>
        <v>0</v>
      </c>
      <c r="M59" s="188">
        <f t="shared" si="17"/>
        <v>0</v>
      </c>
      <c r="N59" s="188">
        <f t="shared" si="17"/>
        <v>0</v>
      </c>
      <c r="O59" s="188">
        <f t="shared" si="17"/>
        <v>0</v>
      </c>
      <c r="P59" s="188">
        <f t="shared" si="17"/>
        <v>0</v>
      </c>
      <c r="Q59" s="68">
        <v>0</v>
      </c>
      <c r="R59" s="41"/>
      <c r="S59" s="332">
        <f t="shared" si="18"/>
        <v>0</v>
      </c>
      <c r="T59" s="41"/>
      <c r="U59" s="362">
        <f t="shared" si="2"/>
        <v>0</v>
      </c>
      <c r="V59" s="41"/>
    </row>
    <row r="60" spans="3:23" s="37" customFormat="1" ht="12" x14ac:dyDescent="0.2">
      <c r="C60" s="199">
        <v>6284</v>
      </c>
      <c r="D60" s="37" t="s">
        <v>194</v>
      </c>
      <c r="E60" s="188">
        <f t="shared" si="17"/>
        <v>820</v>
      </c>
      <c r="F60" s="188">
        <f t="shared" si="17"/>
        <v>820</v>
      </c>
      <c r="G60" s="188">
        <f t="shared" si="17"/>
        <v>820</v>
      </c>
      <c r="H60" s="188">
        <f t="shared" si="17"/>
        <v>820</v>
      </c>
      <c r="I60" s="188">
        <f t="shared" si="17"/>
        <v>820</v>
      </c>
      <c r="J60" s="188">
        <f t="shared" si="17"/>
        <v>820</v>
      </c>
      <c r="K60" s="188">
        <f t="shared" si="17"/>
        <v>820</v>
      </c>
      <c r="L60" s="188">
        <f t="shared" si="17"/>
        <v>820</v>
      </c>
      <c r="M60" s="188">
        <f t="shared" si="17"/>
        <v>820</v>
      </c>
      <c r="N60" s="188">
        <f t="shared" si="17"/>
        <v>820</v>
      </c>
      <c r="O60" s="188">
        <f t="shared" si="17"/>
        <v>820</v>
      </c>
      <c r="P60" s="188">
        <f t="shared" si="17"/>
        <v>820</v>
      </c>
      <c r="Q60" s="68">
        <v>0</v>
      </c>
      <c r="R60" s="41"/>
      <c r="S60" s="332">
        <f t="shared" si="18"/>
        <v>9840</v>
      </c>
      <c r="T60" s="41"/>
      <c r="U60" s="362">
        <f t="shared" si="2"/>
        <v>6560</v>
      </c>
      <c r="V60" s="41"/>
      <c r="W60" s="37">
        <v>9840</v>
      </c>
    </row>
    <row r="61" spans="3:23" s="37" customFormat="1" ht="12" x14ac:dyDescent="0.2">
      <c r="C61" s="199">
        <v>6287</v>
      </c>
      <c r="D61" s="37" t="s">
        <v>227</v>
      </c>
      <c r="E61" s="188">
        <f t="shared" si="17"/>
        <v>3358.125</v>
      </c>
      <c r="F61" s="188">
        <f t="shared" si="17"/>
        <v>3358.125</v>
      </c>
      <c r="G61" s="188">
        <f t="shared" si="17"/>
        <v>3358.125</v>
      </c>
      <c r="H61" s="188">
        <f t="shared" si="17"/>
        <v>3358.125</v>
      </c>
      <c r="I61" s="188">
        <f t="shared" si="17"/>
        <v>3358.125</v>
      </c>
      <c r="J61" s="188">
        <f t="shared" si="17"/>
        <v>3358.125</v>
      </c>
      <c r="K61" s="188">
        <f t="shared" si="17"/>
        <v>3358.125</v>
      </c>
      <c r="L61" s="188">
        <f t="shared" si="17"/>
        <v>3358.125</v>
      </c>
      <c r="M61" s="188">
        <f t="shared" si="17"/>
        <v>3358.125</v>
      </c>
      <c r="N61" s="188">
        <f t="shared" si="17"/>
        <v>3358.125</v>
      </c>
      <c r="O61" s="188">
        <f t="shared" si="17"/>
        <v>3358.125</v>
      </c>
      <c r="P61" s="188">
        <f t="shared" si="17"/>
        <v>3358.125</v>
      </c>
      <c r="Q61" s="68">
        <v>0</v>
      </c>
      <c r="R61" s="41"/>
      <c r="S61" s="332">
        <f t="shared" si="18"/>
        <v>40297.5</v>
      </c>
      <c r="T61" s="41"/>
      <c r="U61" s="362">
        <f t="shared" si="2"/>
        <v>26865</v>
      </c>
      <c r="V61" s="41"/>
      <c r="W61" s="37">
        <v>40297.5</v>
      </c>
    </row>
    <row r="62" spans="3:23" s="37" customFormat="1" ht="12" x14ac:dyDescent="0.2">
      <c r="C62" s="38"/>
      <c r="E62" s="73">
        <f t="shared" ref="E62:Q62" si="19">SUBTOTAL(9,E43:E61)</f>
        <v>24297.253464371526</v>
      </c>
      <c r="F62" s="73">
        <f t="shared" si="19"/>
        <v>24297.253464371526</v>
      </c>
      <c r="G62" s="73">
        <f t="shared" si="19"/>
        <v>24297.253464371526</v>
      </c>
      <c r="H62" s="73">
        <f t="shared" si="19"/>
        <v>24297.253464371526</v>
      </c>
      <c r="I62" s="73">
        <f t="shared" si="19"/>
        <v>24297.253464371526</v>
      </c>
      <c r="J62" s="73">
        <f t="shared" si="19"/>
        <v>24297.253464371526</v>
      </c>
      <c r="K62" s="73">
        <f t="shared" si="19"/>
        <v>24297.253464371526</v>
      </c>
      <c r="L62" s="73">
        <f t="shared" si="19"/>
        <v>24297.253464371526</v>
      </c>
      <c r="M62" s="73">
        <f t="shared" si="19"/>
        <v>24297.253464371526</v>
      </c>
      <c r="N62" s="73">
        <f t="shared" si="19"/>
        <v>24297.253464371526</v>
      </c>
      <c r="O62" s="73">
        <f t="shared" si="19"/>
        <v>24297.253464371526</v>
      </c>
      <c r="P62" s="73">
        <f t="shared" si="19"/>
        <v>24297.253464371526</v>
      </c>
      <c r="Q62" s="73">
        <f t="shared" si="19"/>
        <v>0</v>
      </c>
      <c r="R62" s="41"/>
      <c r="S62" s="333">
        <f>SUBTOTAL(9,S43:S61)</f>
        <v>291567.04157245834</v>
      </c>
      <c r="T62" s="41"/>
      <c r="U62" s="363">
        <f t="shared" si="2"/>
        <v>194378.02771497218</v>
      </c>
      <c r="V62" s="41"/>
    </row>
    <row r="63" spans="3:23" s="37" customFormat="1" ht="12" x14ac:dyDescent="0.2">
      <c r="C63" s="49" t="s">
        <v>9</v>
      </c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41"/>
      <c r="S63" s="332"/>
      <c r="T63" s="41"/>
      <c r="U63" s="362">
        <f t="shared" si="2"/>
        <v>0</v>
      </c>
      <c r="V63" s="41"/>
    </row>
    <row r="64" spans="3:23" s="37" customFormat="1" ht="12" x14ac:dyDescent="0.2">
      <c r="C64" s="199">
        <v>6300</v>
      </c>
      <c r="D64" s="37" t="s">
        <v>9</v>
      </c>
      <c r="E64" s="188">
        <f t="shared" ref="E64:P73" si="20">$W64/12</f>
        <v>8583.3333333333339</v>
      </c>
      <c r="F64" s="188">
        <f t="shared" si="20"/>
        <v>8583.3333333333339</v>
      </c>
      <c r="G64" s="188">
        <f t="shared" si="20"/>
        <v>8583.3333333333339</v>
      </c>
      <c r="H64" s="188">
        <f t="shared" si="20"/>
        <v>8583.3333333333339</v>
      </c>
      <c r="I64" s="188">
        <f t="shared" si="20"/>
        <v>8583.3333333333339</v>
      </c>
      <c r="J64" s="188">
        <f t="shared" si="20"/>
        <v>8583.3333333333339</v>
      </c>
      <c r="K64" s="188">
        <f t="shared" si="20"/>
        <v>8583.3333333333339</v>
      </c>
      <c r="L64" s="188">
        <f t="shared" si="20"/>
        <v>8583.3333333333339</v>
      </c>
      <c r="M64" s="188">
        <f t="shared" si="20"/>
        <v>8583.3333333333339</v>
      </c>
      <c r="N64" s="188">
        <f t="shared" si="20"/>
        <v>8583.3333333333339</v>
      </c>
      <c r="O64" s="188">
        <f t="shared" si="20"/>
        <v>8583.3333333333339</v>
      </c>
      <c r="P64" s="188">
        <f t="shared" si="20"/>
        <v>8583.3333333333339</v>
      </c>
      <c r="Q64" s="68">
        <v>0</v>
      </c>
      <c r="R64" s="41"/>
      <c r="S64" s="332">
        <f t="shared" ref="S64:S73" si="21">SUM(E64:Q64)</f>
        <v>102999.99999999999</v>
      </c>
      <c r="T64" s="41"/>
      <c r="U64" s="362">
        <f t="shared" si="2"/>
        <v>68666.666666666672</v>
      </c>
      <c r="V64" s="41"/>
      <c r="W64" s="37">
        <v>103000</v>
      </c>
    </row>
    <row r="65" spans="3:23" s="37" customFormat="1" ht="12" x14ac:dyDescent="0.2">
      <c r="C65" s="199">
        <v>6320</v>
      </c>
      <c r="D65" s="37" t="s">
        <v>10</v>
      </c>
      <c r="E65" s="188">
        <f t="shared" si="20"/>
        <v>4216.666666666667</v>
      </c>
      <c r="F65" s="188">
        <f t="shared" si="20"/>
        <v>4216.666666666667</v>
      </c>
      <c r="G65" s="188">
        <f t="shared" si="20"/>
        <v>4216.666666666667</v>
      </c>
      <c r="H65" s="188">
        <f t="shared" si="20"/>
        <v>4216.666666666667</v>
      </c>
      <c r="I65" s="188">
        <f t="shared" si="20"/>
        <v>4216.666666666667</v>
      </c>
      <c r="J65" s="188">
        <f t="shared" si="20"/>
        <v>4216.666666666667</v>
      </c>
      <c r="K65" s="188">
        <f t="shared" si="20"/>
        <v>4216.666666666667</v>
      </c>
      <c r="L65" s="188">
        <f t="shared" si="20"/>
        <v>4216.666666666667</v>
      </c>
      <c r="M65" s="188">
        <f t="shared" si="20"/>
        <v>4216.666666666667</v>
      </c>
      <c r="N65" s="188">
        <f t="shared" si="20"/>
        <v>4216.666666666667</v>
      </c>
      <c r="O65" s="188">
        <f t="shared" si="20"/>
        <v>4216.666666666667</v>
      </c>
      <c r="P65" s="188">
        <f t="shared" si="20"/>
        <v>4216.666666666667</v>
      </c>
      <c r="Q65" s="68">
        <v>0</v>
      </c>
      <c r="R65" s="41"/>
      <c r="S65" s="332">
        <f t="shared" si="21"/>
        <v>50599.999999999993</v>
      </c>
      <c r="T65" s="41"/>
      <c r="U65" s="362">
        <f t="shared" si="2"/>
        <v>33733.333333333336</v>
      </c>
      <c r="V65" s="41"/>
      <c r="W65" s="37">
        <v>50600</v>
      </c>
    </row>
    <row r="66" spans="3:23" s="37" customFormat="1" ht="12" x14ac:dyDescent="0.2">
      <c r="C66" s="199">
        <v>6334</v>
      </c>
      <c r="D66" s="37" t="s">
        <v>11</v>
      </c>
      <c r="E66" s="188">
        <f t="shared" si="20"/>
        <v>0</v>
      </c>
      <c r="F66" s="188">
        <f t="shared" si="20"/>
        <v>0</v>
      </c>
      <c r="G66" s="188">
        <f t="shared" si="20"/>
        <v>0</v>
      </c>
      <c r="H66" s="188">
        <f t="shared" si="20"/>
        <v>0</v>
      </c>
      <c r="I66" s="188">
        <f t="shared" si="20"/>
        <v>0</v>
      </c>
      <c r="J66" s="188">
        <f t="shared" si="20"/>
        <v>0</v>
      </c>
      <c r="K66" s="188">
        <f t="shared" si="20"/>
        <v>0</v>
      </c>
      <c r="L66" s="188">
        <f t="shared" si="20"/>
        <v>0</v>
      </c>
      <c r="M66" s="188">
        <f t="shared" si="20"/>
        <v>0</v>
      </c>
      <c r="N66" s="188">
        <f t="shared" si="20"/>
        <v>0</v>
      </c>
      <c r="O66" s="188">
        <f t="shared" si="20"/>
        <v>0</v>
      </c>
      <c r="P66" s="188">
        <f t="shared" si="20"/>
        <v>0</v>
      </c>
      <c r="Q66" s="68">
        <v>0</v>
      </c>
      <c r="R66" s="41"/>
      <c r="S66" s="332">
        <f t="shared" si="21"/>
        <v>0</v>
      </c>
      <c r="T66" s="41"/>
      <c r="U66" s="362">
        <f t="shared" si="2"/>
        <v>0</v>
      </c>
      <c r="V66" s="41"/>
    </row>
    <row r="67" spans="3:23" s="37" customFormat="1" ht="12" x14ac:dyDescent="0.2">
      <c r="C67" s="199">
        <v>6333</v>
      </c>
      <c r="D67" s="37" t="s">
        <v>12</v>
      </c>
      <c r="E67" s="188">
        <f t="shared" si="20"/>
        <v>516.66666666666663</v>
      </c>
      <c r="F67" s="188">
        <f t="shared" si="20"/>
        <v>516.66666666666663</v>
      </c>
      <c r="G67" s="188">
        <f t="shared" si="20"/>
        <v>516.66666666666663</v>
      </c>
      <c r="H67" s="188">
        <f t="shared" si="20"/>
        <v>516.66666666666663</v>
      </c>
      <c r="I67" s="188">
        <f t="shared" si="20"/>
        <v>516.66666666666663</v>
      </c>
      <c r="J67" s="188">
        <f t="shared" si="20"/>
        <v>516.66666666666663</v>
      </c>
      <c r="K67" s="188">
        <f t="shared" si="20"/>
        <v>516.66666666666663</v>
      </c>
      <c r="L67" s="188">
        <f t="shared" si="20"/>
        <v>516.66666666666663</v>
      </c>
      <c r="M67" s="188">
        <f t="shared" si="20"/>
        <v>516.66666666666663</v>
      </c>
      <c r="N67" s="188">
        <f t="shared" si="20"/>
        <v>516.66666666666663</v>
      </c>
      <c r="O67" s="188">
        <f t="shared" si="20"/>
        <v>516.66666666666663</v>
      </c>
      <c r="P67" s="188">
        <f t="shared" si="20"/>
        <v>516.66666666666663</v>
      </c>
      <c r="Q67" s="68">
        <v>0</v>
      </c>
      <c r="R67" s="41"/>
      <c r="S67" s="332">
        <f t="shared" si="21"/>
        <v>6200.0000000000009</v>
      </c>
      <c r="T67" s="41"/>
      <c r="U67" s="362">
        <f t="shared" si="2"/>
        <v>4133.333333333333</v>
      </c>
      <c r="V67" s="41"/>
      <c r="W67" s="37">
        <v>6200</v>
      </c>
    </row>
    <row r="68" spans="3:23" s="37" customFormat="1" ht="12" x14ac:dyDescent="0.2">
      <c r="C68" s="199">
        <v>6336</v>
      </c>
      <c r="D68" s="37" t="s">
        <v>13</v>
      </c>
      <c r="E68" s="188">
        <f t="shared" si="20"/>
        <v>1083.3333333333333</v>
      </c>
      <c r="F68" s="188">
        <f t="shared" si="20"/>
        <v>1083.3333333333333</v>
      </c>
      <c r="G68" s="188">
        <f t="shared" si="20"/>
        <v>1083.3333333333333</v>
      </c>
      <c r="H68" s="188">
        <f t="shared" si="20"/>
        <v>1083.3333333333333</v>
      </c>
      <c r="I68" s="188">
        <f t="shared" si="20"/>
        <v>1083.3333333333333</v>
      </c>
      <c r="J68" s="188">
        <f t="shared" si="20"/>
        <v>1083.3333333333333</v>
      </c>
      <c r="K68" s="188">
        <f t="shared" si="20"/>
        <v>1083.3333333333333</v>
      </c>
      <c r="L68" s="188">
        <f t="shared" si="20"/>
        <v>1083.3333333333333</v>
      </c>
      <c r="M68" s="188">
        <f t="shared" si="20"/>
        <v>1083.3333333333333</v>
      </c>
      <c r="N68" s="188">
        <f t="shared" si="20"/>
        <v>1083.3333333333333</v>
      </c>
      <c r="O68" s="188">
        <f t="shared" si="20"/>
        <v>1083.3333333333333</v>
      </c>
      <c r="P68" s="188">
        <f t="shared" si="20"/>
        <v>1083.3333333333333</v>
      </c>
      <c r="Q68" s="68">
        <v>0</v>
      </c>
      <c r="R68" s="41"/>
      <c r="S68" s="332">
        <f t="shared" si="21"/>
        <v>13000.000000000002</v>
      </c>
      <c r="T68" s="41"/>
      <c r="U68" s="362">
        <f t="shared" si="2"/>
        <v>8666.6666666666661</v>
      </c>
      <c r="V68" s="41"/>
      <c r="W68" s="37">
        <v>13000</v>
      </c>
    </row>
    <row r="69" spans="3:23" s="37" customFormat="1" ht="12" x14ac:dyDescent="0.2">
      <c r="C69" s="199">
        <v>6337</v>
      </c>
      <c r="D69" s="37" t="s">
        <v>14</v>
      </c>
      <c r="E69" s="188">
        <f t="shared" si="20"/>
        <v>275</v>
      </c>
      <c r="F69" s="188">
        <f t="shared" si="20"/>
        <v>275</v>
      </c>
      <c r="G69" s="188">
        <f t="shared" si="20"/>
        <v>275</v>
      </c>
      <c r="H69" s="188">
        <f t="shared" si="20"/>
        <v>275</v>
      </c>
      <c r="I69" s="188">
        <f t="shared" si="20"/>
        <v>275</v>
      </c>
      <c r="J69" s="188">
        <f t="shared" si="20"/>
        <v>275</v>
      </c>
      <c r="K69" s="188">
        <f t="shared" si="20"/>
        <v>275</v>
      </c>
      <c r="L69" s="188">
        <f t="shared" si="20"/>
        <v>275</v>
      </c>
      <c r="M69" s="188">
        <f t="shared" si="20"/>
        <v>275</v>
      </c>
      <c r="N69" s="188">
        <f t="shared" si="20"/>
        <v>275</v>
      </c>
      <c r="O69" s="188">
        <f t="shared" si="20"/>
        <v>275</v>
      </c>
      <c r="P69" s="188">
        <f t="shared" si="20"/>
        <v>275</v>
      </c>
      <c r="Q69" s="68">
        <v>0</v>
      </c>
      <c r="R69" s="41"/>
      <c r="S69" s="332">
        <f t="shared" si="21"/>
        <v>3300</v>
      </c>
      <c r="T69" s="41"/>
      <c r="U69" s="362">
        <f t="shared" si="2"/>
        <v>2200</v>
      </c>
      <c r="V69" s="41"/>
      <c r="W69" s="37">
        <v>3300</v>
      </c>
    </row>
    <row r="70" spans="3:23" s="37" customFormat="1" ht="12" x14ac:dyDescent="0.2">
      <c r="C70" s="199">
        <v>6340</v>
      </c>
      <c r="D70" s="37" t="s">
        <v>15</v>
      </c>
      <c r="E70" s="188">
        <f t="shared" si="20"/>
        <v>7285.041666666667</v>
      </c>
      <c r="F70" s="188">
        <f t="shared" si="20"/>
        <v>7285.041666666667</v>
      </c>
      <c r="G70" s="188">
        <f t="shared" si="20"/>
        <v>7285.041666666667</v>
      </c>
      <c r="H70" s="188">
        <f t="shared" si="20"/>
        <v>7285.041666666667</v>
      </c>
      <c r="I70" s="188">
        <f t="shared" si="20"/>
        <v>7285.041666666667</v>
      </c>
      <c r="J70" s="188">
        <f t="shared" si="20"/>
        <v>7285.041666666667</v>
      </c>
      <c r="K70" s="188">
        <f t="shared" si="20"/>
        <v>7285.041666666667</v>
      </c>
      <c r="L70" s="188">
        <f t="shared" si="20"/>
        <v>7285.041666666667</v>
      </c>
      <c r="M70" s="188">
        <f t="shared" si="20"/>
        <v>7285.041666666667</v>
      </c>
      <c r="N70" s="188">
        <f t="shared" si="20"/>
        <v>7285.041666666667</v>
      </c>
      <c r="O70" s="188">
        <f t="shared" si="20"/>
        <v>7285.041666666667</v>
      </c>
      <c r="P70" s="188">
        <f t="shared" si="20"/>
        <v>7285.041666666667</v>
      </c>
      <c r="Q70" s="68">
        <v>0</v>
      </c>
      <c r="R70" s="41"/>
      <c r="S70" s="332">
        <f t="shared" si="21"/>
        <v>87420.500000000015</v>
      </c>
      <c r="T70" s="41"/>
      <c r="U70" s="362">
        <f t="shared" si="2"/>
        <v>58280.333333333328</v>
      </c>
      <c r="V70" s="41"/>
      <c r="W70" s="37">
        <v>87420.5</v>
      </c>
    </row>
    <row r="71" spans="3:23" s="37" customFormat="1" ht="12" x14ac:dyDescent="0.2">
      <c r="C71" s="199">
        <v>6345</v>
      </c>
      <c r="D71" s="37" t="s">
        <v>16</v>
      </c>
      <c r="E71" s="188">
        <f t="shared" si="20"/>
        <v>640.66666666666663</v>
      </c>
      <c r="F71" s="188">
        <f t="shared" si="20"/>
        <v>640.66666666666663</v>
      </c>
      <c r="G71" s="188">
        <f t="shared" si="20"/>
        <v>640.66666666666663</v>
      </c>
      <c r="H71" s="188">
        <f t="shared" si="20"/>
        <v>640.66666666666663</v>
      </c>
      <c r="I71" s="188">
        <f t="shared" si="20"/>
        <v>640.66666666666663</v>
      </c>
      <c r="J71" s="188">
        <f t="shared" si="20"/>
        <v>640.66666666666663</v>
      </c>
      <c r="K71" s="188">
        <f t="shared" si="20"/>
        <v>640.66666666666663</v>
      </c>
      <c r="L71" s="188">
        <f t="shared" si="20"/>
        <v>640.66666666666663</v>
      </c>
      <c r="M71" s="188">
        <f t="shared" si="20"/>
        <v>640.66666666666663</v>
      </c>
      <c r="N71" s="188">
        <f t="shared" si="20"/>
        <v>640.66666666666663</v>
      </c>
      <c r="O71" s="188">
        <f t="shared" si="20"/>
        <v>640.66666666666663</v>
      </c>
      <c r="P71" s="188">
        <f t="shared" si="20"/>
        <v>640.66666666666663</v>
      </c>
      <c r="Q71" s="68">
        <v>0</v>
      </c>
      <c r="R71" s="41"/>
      <c r="S71" s="332">
        <f t="shared" si="21"/>
        <v>7688.0000000000009</v>
      </c>
      <c r="T71" s="41"/>
      <c r="U71" s="362">
        <f t="shared" si="2"/>
        <v>5125.333333333333</v>
      </c>
      <c r="V71" s="41"/>
      <c r="W71" s="37">
        <v>7688</v>
      </c>
    </row>
    <row r="72" spans="3:23" s="37" customFormat="1" ht="12" x14ac:dyDescent="0.2">
      <c r="C72" s="199">
        <v>6350</v>
      </c>
      <c r="D72" s="37" t="s">
        <v>17</v>
      </c>
      <c r="E72" s="188">
        <f t="shared" si="20"/>
        <v>0</v>
      </c>
      <c r="F72" s="188">
        <f t="shared" si="20"/>
        <v>0</v>
      </c>
      <c r="G72" s="188">
        <f t="shared" si="20"/>
        <v>0</v>
      </c>
      <c r="H72" s="188">
        <f t="shared" si="20"/>
        <v>0</v>
      </c>
      <c r="I72" s="188">
        <f t="shared" si="20"/>
        <v>0</v>
      </c>
      <c r="J72" s="188">
        <f t="shared" si="20"/>
        <v>0</v>
      </c>
      <c r="K72" s="188">
        <f t="shared" si="20"/>
        <v>0</v>
      </c>
      <c r="L72" s="188">
        <f t="shared" si="20"/>
        <v>0</v>
      </c>
      <c r="M72" s="188">
        <f t="shared" si="20"/>
        <v>0</v>
      </c>
      <c r="N72" s="188">
        <f t="shared" si="20"/>
        <v>0</v>
      </c>
      <c r="O72" s="188">
        <f t="shared" si="20"/>
        <v>0</v>
      </c>
      <c r="P72" s="188">
        <f t="shared" si="20"/>
        <v>0</v>
      </c>
      <c r="Q72" s="68">
        <v>0</v>
      </c>
      <c r="R72" s="41"/>
      <c r="S72" s="332">
        <f t="shared" si="21"/>
        <v>0</v>
      </c>
      <c r="T72" s="41"/>
      <c r="U72" s="362">
        <f t="shared" si="2"/>
        <v>0</v>
      </c>
      <c r="V72" s="41"/>
    </row>
    <row r="73" spans="3:23" s="37" customFormat="1" ht="12" x14ac:dyDescent="0.2">
      <c r="C73" s="199">
        <v>6351</v>
      </c>
      <c r="D73" s="37" t="s">
        <v>18</v>
      </c>
      <c r="E73" s="188">
        <f t="shared" si="20"/>
        <v>2671.875</v>
      </c>
      <c r="F73" s="188">
        <f t="shared" si="20"/>
        <v>2671.875</v>
      </c>
      <c r="G73" s="188">
        <f t="shared" si="20"/>
        <v>2671.875</v>
      </c>
      <c r="H73" s="188">
        <f t="shared" si="20"/>
        <v>2671.875</v>
      </c>
      <c r="I73" s="188">
        <f t="shared" si="20"/>
        <v>2671.875</v>
      </c>
      <c r="J73" s="188">
        <f t="shared" si="20"/>
        <v>2671.875</v>
      </c>
      <c r="K73" s="188">
        <f t="shared" si="20"/>
        <v>2671.875</v>
      </c>
      <c r="L73" s="188">
        <f t="shared" si="20"/>
        <v>2671.875</v>
      </c>
      <c r="M73" s="188">
        <f t="shared" si="20"/>
        <v>2671.875</v>
      </c>
      <c r="N73" s="188">
        <f t="shared" si="20"/>
        <v>2671.875</v>
      </c>
      <c r="O73" s="188">
        <f t="shared" si="20"/>
        <v>2671.875</v>
      </c>
      <c r="P73" s="188">
        <f t="shared" si="20"/>
        <v>2671.875</v>
      </c>
      <c r="Q73" s="68">
        <v>0</v>
      </c>
      <c r="R73" s="41"/>
      <c r="S73" s="332">
        <f t="shared" si="21"/>
        <v>32062.5</v>
      </c>
      <c r="T73" s="41"/>
      <c r="U73" s="362">
        <f t="shared" ref="U73:U117" si="22">SUM(E73:L73)</f>
        <v>21375</v>
      </c>
      <c r="V73" s="41"/>
      <c r="W73" s="37">
        <v>32062.5</v>
      </c>
    </row>
    <row r="74" spans="3:23" s="37" customFormat="1" ht="12" x14ac:dyDescent="0.2">
      <c r="C74" s="38"/>
      <c r="E74" s="73">
        <f>SUBTOTAL(9,E64:E73)</f>
        <v>25272.583333333336</v>
      </c>
      <c r="F74" s="73">
        <f t="shared" ref="F74:S74" si="23">SUBTOTAL(9,F64:F73)</f>
        <v>25272.583333333336</v>
      </c>
      <c r="G74" s="73">
        <f t="shared" si="23"/>
        <v>25272.583333333336</v>
      </c>
      <c r="H74" s="73">
        <f t="shared" si="23"/>
        <v>25272.583333333336</v>
      </c>
      <c r="I74" s="73">
        <f t="shared" si="23"/>
        <v>25272.583333333336</v>
      </c>
      <c r="J74" s="73">
        <f t="shared" si="23"/>
        <v>25272.583333333336</v>
      </c>
      <c r="K74" s="73">
        <f t="shared" si="23"/>
        <v>25272.583333333336</v>
      </c>
      <c r="L74" s="73">
        <f t="shared" si="23"/>
        <v>25272.583333333336</v>
      </c>
      <c r="M74" s="73">
        <f t="shared" si="23"/>
        <v>25272.583333333336</v>
      </c>
      <c r="N74" s="73">
        <f t="shared" si="23"/>
        <v>25272.583333333336</v>
      </c>
      <c r="O74" s="73">
        <f t="shared" si="23"/>
        <v>25272.583333333336</v>
      </c>
      <c r="P74" s="73">
        <f t="shared" si="23"/>
        <v>25272.583333333336</v>
      </c>
      <c r="Q74" s="73">
        <f t="shared" si="23"/>
        <v>0</v>
      </c>
      <c r="R74" s="41"/>
      <c r="S74" s="333">
        <f t="shared" si="23"/>
        <v>303271</v>
      </c>
      <c r="T74" s="41"/>
      <c r="U74" s="363">
        <f t="shared" si="22"/>
        <v>202180.66666666672</v>
      </c>
      <c r="V74" s="41"/>
    </row>
    <row r="75" spans="3:23" s="37" customFormat="1" ht="12" x14ac:dyDescent="0.2">
      <c r="C75" s="49" t="s">
        <v>100</v>
      </c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41"/>
      <c r="S75" s="332"/>
      <c r="T75" s="41"/>
      <c r="U75" s="362">
        <f t="shared" si="22"/>
        <v>0</v>
      </c>
      <c r="V75" s="41"/>
    </row>
    <row r="76" spans="3:23" s="37" customFormat="1" ht="12" x14ac:dyDescent="0.2">
      <c r="C76" s="199">
        <v>6410</v>
      </c>
      <c r="D76" s="37" t="s">
        <v>19</v>
      </c>
      <c r="E76" s="188">
        <f t="shared" ref="E76:P79" si="24">$W76/12</f>
        <v>10348.166666666666</v>
      </c>
      <c r="F76" s="188">
        <f t="shared" si="24"/>
        <v>10348.166666666666</v>
      </c>
      <c r="G76" s="188">
        <f t="shared" si="24"/>
        <v>10348.166666666666</v>
      </c>
      <c r="H76" s="188">
        <f t="shared" si="24"/>
        <v>10348.166666666666</v>
      </c>
      <c r="I76" s="188">
        <f t="shared" si="24"/>
        <v>10348.166666666666</v>
      </c>
      <c r="J76" s="188">
        <f t="shared" si="24"/>
        <v>10348.166666666666</v>
      </c>
      <c r="K76" s="188">
        <f t="shared" si="24"/>
        <v>10348.166666666666</v>
      </c>
      <c r="L76" s="188">
        <f t="shared" si="24"/>
        <v>10348.166666666666</v>
      </c>
      <c r="M76" s="188">
        <f t="shared" si="24"/>
        <v>10348.166666666666</v>
      </c>
      <c r="N76" s="188">
        <f t="shared" si="24"/>
        <v>10348.166666666666</v>
      </c>
      <c r="O76" s="188">
        <f t="shared" si="24"/>
        <v>10348.166666666666</v>
      </c>
      <c r="P76" s="188">
        <f t="shared" si="24"/>
        <v>10348.166666666666</v>
      </c>
      <c r="Q76" s="68">
        <v>0</v>
      </c>
      <c r="R76" s="41"/>
      <c r="S76" s="332">
        <f t="shared" ref="S76:S79" si="25">SUM(E76:Q76)</f>
        <v>124178.00000000001</v>
      </c>
      <c r="T76" s="41"/>
      <c r="U76" s="362">
        <f t="shared" si="22"/>
        <v>82785.333333333328</v>
      </c>
      <c r="V76" s="41"/>
      <c r="W76" s="37">
        <v>124178</v>
      </c>
    </row>
    <row r="77" spans="3:23" s="37" customFormat="1" ht="12" x14ac:dyDescent="0.2">
      <c r="C77" s="199">
        <v>6420</v>
      </c>
      <c r="D77" s="37" t="s">
        <v>20</v>
      </c>
      <c r="E77" s="188">
        <f t="shared" si="24"/>
        <v>353.33333333333331</v>
      </c>
      <c r="F77" s="188">
        <f t="shared" si="24"/>
        <v>353.33333333333331</v>
      </c>
      <c r="G77" s="188">
        <f t="shared" si="24"/>
        <v>353.33333333333331</v>
      </c>
      <c r="H77" s="188">
        <f t="shared" si="24"/>
        <v>353.33333333333331</v>
      </c>
      <c r="I77" s="188">
        <f t="shared" si="24"/>
        <v>353.33333333333331</v>
      </c>
      <c r="J77" s="188">
        <f t="shared" si="24"/>
        <v>353.33333333333331</v>
      </c>
      <c r="K77" s="188">
        <f t="shared" si="24"/>
        <v>353.33333333333331</v>
      </c>
      <c r="L77" s="188">
        <f t="shared" si="24"/>
        <v>353.33333333333331</v>
      </c>
      <c r="M77" s="188">
        <f t="shared" si="24"/>
        <v>353.33333333333331</v>
      </c>
      <c r="N77" s="188">
        <f t="shared" si="24"/>
        <v>353.33333333333331</v>
      </c>
      <c r="O77" s="188">
        <f t="shared" si="24"/>
        <v>353.33333333333331</v>
      </c>
      <c r="P77" s="188">
        <f t="shared" si="24"/>
        <v>353.33333333333331</v>
      </c>
      <c r="Q77" s="68">
        <v>0</v>
      </c>
      <c r="R77" s="41"/>
      <c r="S77" s="332">
        <f t="shared" si="25"/>
        <v>4240.0000000000009</v>
      </c>
      <c r="T77" s="41"/>
      <c r="U77" s="362">
        <f t="shared" si="22"/>
        <v>2826.666666666667</v>
      </c>
      <c r="V77" s="41"/>
      <c r="W77" s="37">
        <v>4240</v>
      </c>
    </row>
    <row r="78" spans="3:23" s="37" customFormat="1" ht="12" x14ac:dyDescent="0.2">
      <c r="C78" s="199">
        <v>6430</v>
      </c>
      <c r="D78" s="37" t="s">
        <v>21</v>
      </c>
      <c r="E78" s="188">
        <f t="shared" si="24"/>
        <v>125</v>
      </c>
      <c r="F78" s="188">
        <f t="shared" si="24"/>
        <v>125</v>
      </c>
      <c r="G78" s="188">
        <f t="shared" si="24"/>
        <v>125</v>
      </c>
      <c r="H78" s="188">
        <f t="shared" si="24"/>
        <v>125</v>
      </c>
      <c r="I78" s="188">
        <f t="shared" si="24"/>
        <v>125</v>
      </c>
      <c r="J78" s="188">
        <f t="shared" si="24"/>
        <v>125</v>
      </c>
      <c r="K78" s="188">
        <f t="shared" si="24"/>
        <v>125</v>
      </c>
      <c r="L78" s="188">
        <f t="shared" si="24"/>
        <v>125</v>
      </c>
      <c r="M78" s="188">
        <f t="shared" si="24"/>
        <v>125</v>
      </c>
      <c r="N78" s="188">
        <f t="shared" si="24"/>
        <v>125</v>
      </c>
      <c r="O78" s="188">
        <f t="shared" si="24"/>
        <v>125</v>
      </c>
      <c r="P78" s="188">
        <f t="shared" si="24"/>
        <v>125</v>
      </c>
      <c r="Q78" s="68">
        <v>0</v>
      </c>
      <c r="R78" s="41"/>
      <c r="S78" s="332">
        <f t="shared" si="25"/>
        <v>1500</v>
      </c>
      <c r="T78" s="41"/>
      <c r="U78" s="362">
        <f t="shared" si="22"/>
        <v>1000</v>
      </c>
      <c r="V78" s="41"/>
      <c r="W78" s="37">
        <v>1500</v>
      </c>
    </row>
    <row r="79" spans="3:23" s="37" customFormat="1" ht="12" x14ac:dyDescent="0.2">
      <c r="C79" s="199">
        <v>6441</v>
      </c>
      <c r="D79" s="37" t="s">
        <v>22</v>
      </c>
      <c r="E79" s="188">
        <f t="shared" si="24"/>
        <v>0</v>
      </c>
      <c r="F79" s="188">
        <f t="shared" si="24"/>
        <v>0</v>
      </c>
      <c r="G79" s="188">
        <f t="shared" si="24"/>
        <v>0</v>
      </c>
      <c r="H79" s="188">
        <f t="shared" si="24"/>
        <v>0</v>
      </c>
      <c r="I79" s="188">
        <f t="shared" si="24"/>
        <v>0</v>
      </c>
      <c r="J79" s="188">
        <f t="shared" si="24"/>
        <v>0</v>
      </c>
      <c r="K79" s="188">
        <f t="shared" si="24"/>
        <v>0</v>
      </c>
      <c r="L79" s="188">
        <f t="shared" si="24"/>
        <v>0</v>
      </c>
      <c r="M79" s="188">
        <f t="shared" si="24"/>
        <v>0</v>
      </c>
      <c r="N79" s="188">
        <f t="shared" si="24"/>
        <v>0</v>
      </c>
      <c r="O79" s="188">
        <f t="shared" si="24"/>
        <v>0</v>
      </c>
      <c r="P79" s="188">
        <f t="shared" si="24"/>
        <v>0</v>
      </c>
      <c r="Q79" s="68">
        <v>0</v>
      </c>
      <c r="R79" s="41"/>
      <c r="S79" s="332">
        <f t="shared" si="25"/>
        <v>0</v>
      </c>
      <c r="T79" s="41"/>
      <c r="U79" s="362">
        <f t="shared" si="22"/>
        <v>0</v>
      </c>
      <c r="V79" s="41"/>
    </row>
    <row r="80" spans="3:23" s="37" customFormat="1" ht="12" x14ac:dyDescent="0.2">
      <c r="C80" s="38"/>
      <c r="E80" s="73">
        <f>SUBTOTAL(9,E76:E79)</f>
        <v>10826.5</v>
      </c>
      <c r="F80" s="73">
        <f t="shared" ref="F80:S80" si="26">SUBTOTAL(9,F76:F79)</f>
        <v>10826.5</v>
      </c>
      <c r="G80" s="73">
        <f t="shared" si="26"/>
        <v>10826.5</v>
      </c>
      <c r="H80" s="73">
        <f t="shared" si="26"/>
        <v>10826.5</v>
      </c>
      <c r="I80" s="73">
        <f t="shared" si="26"/>
        <v>10826.5</v>
      </c>
      <c r="J80" s="73">
        <f t="shared" si="26"/>
        <v>10826.5</v>
      </c>
      <c r="K80" s="73">
        <f t="shared" si="26"/>
        <v>10826.5</v>
      </c>
      <c r="L80" s="73">
        <f t="shared" si="26"/>
        <v>10826.5</v>
      </c>
      <c r="M80" s="73">
        <f t="shared" si="26"/>
        <v>10826.5</v>
      </c>
      <c r="N80" s="73">
        <f t="shared" si="26"/>
        <v>10826.5</v>
      </c>
      <c r="O80" s="73">
        <f t="shared" si="26"/>
        <v>10826.5</v>
      </c>
      <c r="P80" s="73">
        <f t="shared" si="26"/>
        <v>10826.5</v>
      </c>
      <c r="Q80" s="73">
        <f t="shared" si="26"/>
        <v>0</v>
      </c>
      <c r="R80" s="41"/>
      <c r="S80" s="333">
        <f t="shared" si="26"/>
        <v>129918.00000000001</v>
      </c>
      <c r="T80" s="41"/>
      <c r="U80" s="363">
        <f t="shared" si="22"/>
        <v>86612</v>
      </c>
      <c r="V80" s="41"/>
    </row>
    <row r="81" spans="3:23" s="37" customFormat="1" ht="12" x14ac:dyDescent="0.2">
      <c r="C81" s="49" t="s">
        <v>101</v>
      </c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41"/>
      <c r="S81" s="332"/>
      <c r="T81" s="41"/>
      <c r="U81" s="362">
        <f t="shared" si="22"/>
        <v>0</v>
      </c>
      <c r="V81" s="41"/>
    </row>
    <row r="82" spans="3:23" s="37" customFormat="1" ht="12" x14ac:dyDescent="0.2">
      <c r="C82" s="199">
        <v>6519</v>
      </c>
      <c r="D82" s="37" t="s">
        <v>234</v>
      </c>
      <c r="E82" s="188">
        <f t="shared" ref="E82:P93" si="27">$W82/12</f>
        <v>0</v>
      </c>
      <c r="F82" s="188">
        <f t="shared" si="27"/>
        <v>0</v>
      </c>
      <c r="G82" s="188">
        <f t="shared" si="27"/>
        <v>0</v>
      </c>
      <c r="H82" s="188">
        <f t="shared" si="27"/>
        <v>0</v>
      </c>
      <c r="I82" s="188">
        <f t="shared" si="27"/>
        <v>0</v>
      </c>
      <c r="J82" s="188">
        <f t="shared" si="27"/>
        <v>0</v>
      </c>
      <c r="K82" s="188">
        <f t="shared" si="27"/>
        <v>0</v>
      </c>
      <c r="L82" s="188">
        <f t="shared" si="27"/>
        <v>0</v>
      </c>
      <c r="M82" s="188">
        <f t="shared" si="27"/>
        <v>0</v>
      </c>
      <c r="N82" s="188">
        <f t="shared" si="27"/>
        <v>0</v>
      </c>
      <c r="O82" s="188">
        <f t="shared" si="27"/>
        <v>0</v>
      </c>
      <c r="P82" s="188">
        <f t="shared" si="27"/>
        <v>0</v>
      </c>
      <c r="Q82" s="68">
        <v>0</v>
      </c>
      <c r="R82" s="41"/>
      <c r="S82" s="332">
        <f t="shared" ref="S82:S93" si="28">SUM(E82:Q82)</f>
        <v>0</v>
      </c>
      <c r="T82" s="41"/>
      <c r="U82" s="362">
        <f t="shared" si="22"/>
        <v>0</v>
      </c>
      <c r="V82" s="41"/>
      <c r="W82" s="37">
        <v>0</v>
      </c>
    </row>
    <row r="83" spans="3:23" s="37" customFormat="1" ht="12" x14ac:dyDescent="0.2">
      <c r="C83" s="199">
        <v>6521</v>
      </c>
      <c r="D83" s="37" t="s">
        <v>24</v>
      </c>
      <c r="E83" s="188">
        <f t="shared" si="27"/>
        <v>107.1875</v>
      </c>
      <c r="F83" s="188">
        <f t="shared" si="27"/>
        <v>107.1875</v>
      </c>
      <c r="G83" s="188">
        <f t="shared" si="27"/>
        <v>107.1875</v>
      </c>
      <c r="H83" s="188">
        <f t="shared" si="27"/>
        <v>107.1875</v>
      </c>
      <c r="I83" s="188">
        <f t="shared" si="27"/>
        <v>107.1875</v>
      </c>
      <c r="J83" s="188">
        <f t="shared" si="27"/>
        <v>107.1875</v>
      </c>
      <c r="K83" s="188">
        <f t="shared" si="27"/>
        <v>107.1875</v>
      </c>
      <c r="L83" s="188">
        <f t="shared" si="27"/>
        <v>107.1875</v>
      </c>
      <c r="M83" s="188">
        <f t="shared" si="27"/>
        <v>107.1875</v>
      </c>
      <c r="N83" s="188">
        <f t="shared" si="27"/>
        <v>107.1875</v>
      </c>
      <c r="O83" s="188">
        <f t="shared" si="27"/>
        <v>107.1875</v>
      </c>
      <c r="P83" s="188">
        <f t="shared" si="27"/>
        <v>107.1875</v>
      </c>
      <c r="Q83" s="68">
        <v>0</v>
      </c>
      <c r="R83" s="41"/>
      <c r="S83" s="332">
        <f t="shared" si="28"/>
        <v>1286.25</v>
      </c>
      <c r="T83" s="41"/>
      <c r="U83" s="362">
        <f t="shared" si="22"/>
        <v>857.5</v>
      </c>
      <c r="V83" s="41"/>
      <c r="W83" s="37">
        <v>1286.25</v>
      </c>
    </row>
    <row r="84" spans="3:23" s="37" customFormat="1" ht="12" x14ac:dyDescent="0.2">
      <c r="C84" s="199">
        <v>6522</v>
      </c>
      <c r="D84" s="37" t="s">
        <v>25</v>
      </c>
      <c r="E84" s="188">
        <f t="shared" si="27"/>
        <v>1074.9375</v>
      </c>
      <c r="F84" s="188">
        <f t="shared" si="27"/>
        <v>1074.9375</v>
      </c>
      <c r="G84" s="188">
        <f t="shared" si="27"/>
        <v>1074.9375</v>
      </c>
      <c r="H84" s="188">
        <f t="shared" si="27"/>
        <v>1074.9375</v>
      </c>
      <c r="I84" s="188">
        <f t="shared" si="27"/>
        <v>1074.9375</v>
      </c>
      <c r="J84" s="188">
        <f t="shared" si="27"/>
        <v>1074.9375</v>
      </c>
      <c r="K84" s="188">
        <f t="shared" si="27"/>
        <v>1074.9375</v>
      </c>
      <c r="L84" s="188">
        <f t="shared" si="27"/>
        <v>1074.9375</v>
      </c>
      <c r="M84" s="188">
        <f t="shared" si="27"/>
        <v>1074.9375</v>
      </c>
      <c r="N84" s="188">
        <f t="shared" si="27"/>
        <v>1074.9375</v>
      </c>
      <c r="O84" s="188">
        <f t="shared" si="27"/>
        <v>1074.9375</v>
      </c>
      <c r="P84" s="188">
        <f t="shared" si="27"/>
        <v>1074.9375</v>
      </c>
      <c r="Q84" s="68">
        <v>0</v>
      </c>
      <c r="R84" s="41"/>
      <c r="S84" s="332">
        <f t="shared" si="28"/>
        <v>12899.25</v>
      </c>
      <c r="T84" s="41"/>
      <c r="U84" s="362">
        <f t="shared" si="22"/>
        <v>8599.5</v>
      </c>
      <c r="V84" s="41"/>
      <c r="W84" s="37">
        <v>12899.25</v>
      </c>
    </row>
    <row r="85" spans="3:23" s="37" customFormat="1" ht="12" x14ac:dyDescent="0.2">
      <c r="C85" s="199">
        <v>6523</v>
      </c>
      <c r="D85" s="37" t="s">
        <v>26</v>
      </c>
      <c r="E85" s="188">
        <f t="shared" si="27"/>
        <v>765.625</v>
      </c>
      <c r="F85" s="188">
        <f t="shared" si="27"/>
        <v>765.625</v>
      </c>
      <c r="G85" s="188">
        <f t="shared" si="27"/>
        <v>765.625</v>
      </c>
      <c r="H85" s="188">
        <f t="shared" si="27"/>
        <v>765.625</v>
      </c>
      <c r="I85" s="188">
        <f t="shared" si="27"/>
        <v>765.625</v>
      </c>
      <c r="J85" s="188">
        <f t="shared" si="27"/>
        <v>765.625</v>
      </c>
      <c r="K85" s="188">
        <f t="shared" si="27"/>
        <v>765.625</v>
      </c>
      <c r="L85" s="188">
        <f t="shared" si="27"/>
        <v>765.625</v>
      </c>
      <c r="M85" s="188">
        <f t="shared" si="27"/>
        <v>765.625</v>
      </c>
      <c r="N85" s="188">
        <f t="shared" si="27"/>
        <v>765.625</v>
      </c>
      <c r="O85" s="188">
        <f t="shared" si="27"/>
        <v>765.625</v>
      </c>
      <c r="P85" s="188">
        <f t="shared" si="27"/>
        <v>765.625</v>
      </c>
      <c r="Q85" s="68">
        <v>0</v>
      </c>
      <c r="R85" s="41"/>
      <c r="S85" s="332">
        <f t="shared" si="28"/>
        <v>9187.5</v>
      </c>
      <c r="T85" s="41"/>
      <c r="U85" s="362">
        <f t="shared" si="22"/>
        <v>6125</v>
      </c>
      <c r="V85" s="41"/>
      <c r="W85" s="37">
        <v>9187.5</v>
      </c>
    </row>
    <row r="86" spans="3:23" s="37" customFormat="1" ht="12" x14ac:dyDescent="0.2">
      <c r="C86" s="199">
        <v>6531</v>
      </c>
      <c r="D86" s="37" t="s">
        <v>27</v>
      </c>
      <c r="E86" s="188">
        <f t="shared" si="27"/>
        <v>111</v>
      </c>
      <c r="F86" s="188">
        <f t="shared" si="27"/>
        <v>111</v>
      </c>
      <c r="G86" s="188">
        <f t="shared" si="27"/>
        <v>111</v>
      </c>
      <c r="H86" s="188">
        <f t="shared" si="27"/>
        <v>111</v>
      </c>
      <c r="I86" s="188">
        <f t="shared" si="27"/>
        <v>111</v>
      </c>
      <c r="J86" s="188">
        <f t="shared" si="27"/>
        <v>111</v>
      </c>
      <c r="K86" s="188">
        <f t="shared" si="27"/>
        <v>111</v>
      </c>
      <c r="L86" s="188">
        <f t="shared" si="27"/>
        <v>111</v>
      </c>
      <c r="M86" s="188">
        <f t="shared" si="27"/>
        <v>111</v>
      </c>
      <c r="N86" s="188">
        <f t="shared" si="27"/>
        <v>111</v>
      </c>
      <c r="O86" s="188">
        <f t="shared" si="27"/>
        <v>111</v>
      </c>
      <c r="P86" s="188">
        <f t="shared" si="27"/>
        <v>111</v>
      </c>
      <c r="Q86" s="68">
        <v>0</v>
      </c>
      <c r="R86" s="41"/>
      <c r="S86" s="332">
        <f t="shared" si="28"/>
        <v>1332</v>
      </c>
      <c r="T86" s="41"/>
      <c r="U86" s="362">
        <f t="shared" si="22"/>
        <v>888</v>
      </c>
      <c r="V86" s="41"/>
      <c r="W86" s="37">
        <v>1332</v>
      </c>
    </row>
    <row r="87" spans="3:23" s="37" customFormat="1" ht="12" x14ac:dyDescent="0.2">
      <c r="C87" s="199">
        <v>6534</v>
      </c>
      <c r="D87" s="37" t="s">
        <v>28</v>
      </c>
      <c r="E87" s="188">
        <f t="shared" si="27"/>
        <v>395</v>
      </c>
      <c r="F87" s="188">
        <f t="shared" si="27"/>
        <v>395</v>
      </c>
      <c r="G87" s="188">
        <f t="shared" si="27"/>
        <v>395</v>
      </c>
      <c r="H87" s="188">
        <f t="shared" si="27"/>
        <v>395</v>
      </c>
      <c r="I87" s="188">
        <f t="shared" si="27"/>
        <v>395</v>
      </c>
      <c r="J87" s="188">
        <f t="shared" si="27"/>
        <v>395</v>
      </c>
      <c r="K87" s="188">
        <f t="shared" si="27"/>
        <v>395</v>
      </c>
      <c r="L87" s="188">
        <f t="shared" si="27"/>
        <v>395</v>
      </c>
      <c r="M87" s="188">
        <f t="shared" si="27"/>
        <v>395</v>
      </c>
      <c r="N87" s="188">
        <f t="shared" si="27"/>
        <v>395</v>
      </c>
      <c r="O87" s="188">
        <f t="shared" si="27"/>
        <v>395</v>
      </c>
      <c r="P87" s="188">
        <f t="shared" si="27"/>
        <v>395</v>
      </c>
      <c r="Q87" s="68">
        <v>0</v>
      </c>
      <c r="R87" s="41"/>
      <c r="S87" s="332">
        <f t="shared" si="28"/>
        <v>4740</v>
      </c>
      <c r="T87" s="41"/>
      <c r="U87" s="362">
        <f t="shared" si="22"/>
        <v>3160</v>
      </c>
      <c r="V87" s="41"/>
      <c r="W87" s="37">
        <v>4740</v>
      </c>
    </row>
    <row r="88" spans="3:23" s="37" customFormat="1" ht="12" x14ac:dyDescent="0.2">
      <c r="C88" s="199">
        <v>6535</v>
      </c>
      <c r="D88" s="37" t="s">
        <v>235</v>
      </c>
      <c r="E88" s="188">
        <f t="shared" si="27"/>
        <v>4145</v>
      </c>
      <c r="F88" s="188">
        <f t="shared" si="27"/>
        <v>4145</v>
      </c>
      <c r="G88" s="188">
        <f t="shared" si="27"/>
        <v>4145</v>
      </c>
      <c r="H88" s="188">
        <f t="shared" si="27"/>
        <v>4145</v>
      </c>
      <c r="I88" s="188">
        <f t="shared" si="27"/>
        <v>4145</v>
      </c>
      <c r="J88" s="188">
        <f t="shared" si="27"/>
        <v>4145</v>
      </c>
      <c r="K88" s="188">
        <f t="shared" si="27"/>
        <v>4145</v>
      </c>
      <c r="L88" s="188">
        <f t="shared" si="27"/>
        <v>4145</v>
      </c>
      <c r="M88" s="188">
        <f t="shared" si="27"/>
        <v>4145</v>
      </c>
      <c r="N88" s="188">
        <f t="shared" si="27"/>
        <v>4145</v>
      </c>
      <c r="O88" s="188">
        <f t="shared" si="27"/>
        <v>4145</v>
      </c>
      <c r="P88" s="188">
        <f t="shared" si="27"/>
        <v>4145</v>
      </c>
      <c r="Q88" s="68">
        <v>0</v>
      </c>
      <c r="R88" s="41"/>
      <c r="S88" s="332">
        <f t="shared" si="28"/>
        <v>49740</v>
      </c>
      <c r="T88" s="41"/>
      <c r="U88" s="362">
        <f t="shared" si="22"/>
        <v>33160</v>
      </c>
      <c r="V88" s="41"/>
      <c r="W88" s="37">
        <v>49740</v>
      </c>
    </row>
    <row r="89" spans="3:23" s="37" customFormat="1" ht="12" x14ac:dyDescent="0.2">
      <c r="C89" s="199">
        <v>6540</v>
      </c>
      <c r="D89" s="37" t="s">
        <v>30</v>
      </c>
      <c r="E89" s="188">
        <f t="shared" si="27"/>
        <v>3710</v>
      </c>
      <c r="F89" s="188">
        <f t="shared" si="27"/>
        <v>3710</v>
      </c>
      <c r="G89" s="188">
        <f t="shared" si="27"/>
        <v>3710</v>
      </c>
      <c r="H89" s="188">
        <f t="shared" si="27"/>
        <v>3710</v>
      </c>
      <c r="I89" s="188">
        <f t="shared" si="27"/>
        <v>3710</v>
      </c>
      <c r="J89" s="188">
        <f t="shared" si="27"/>
        <v>3710</v>
      </c>
      <c r="K89" s="188">
        <f t="shared" si="27"/>
        <v>3710</v>
      </c>
      <c r="L89" s="188">
        <f t="shared" si="27"/>
        <v>3710</v>
      </c>
      <c r="M89" s="188">
        <f t="shared" si="27"/>
        <v>3710</v>
      </c>
      <c r="N89" s="188">
        <f t="shared" si="27"/>
        <v>3710</v>
      </c>
      <c r="O89" s="188">
        <f t="shared" si="27"/>
        <v>3710</v>
      </c>
      <c r="P89" s="188">
        <f t="shared" si="27"/>
        <v>3710</v>
      </c>
      <c r="Q89" s="68">
        <v>0</v>
      </c>
      <c r="R89" s="41"/>
      <c r="S89" s="332">
        <f t="shared" si="28"/>
        <v>44520</v>
      </c>
      <c r="T89" s="41"/>
      <c r="U89" s="362">
        <f t="shared" si="22"/>
        <v>29680</v>
      </c>
      <c r="V89" s="41"/>
      <c r="W89" s="37">
        <v>44520</v>
      </c>
    </row>
    <row r="90" spans="3:23" s="37" customFormat="1" ht="12" x14ac:dyDescent="0.2">
      <c r="C90" s="199">
        <v>6550</v>
      </c>
      <c r="D90" s="37" t="s">
        <v>31</v>
      </c>
      <c r="E90" s="188">
        <f t="shared" si="27"/>
        <v>0</v>
      </c>
      <c r="F90" s="188">
        <f t="shared" si="27"/>
        <v>0</v>
      </c>
      <c r="G90" s="188">
        <f t="shared" si="27"/>
        <v>0</v>
      </c>
      <c r="H90" s="188">
        <f t="shared" si="27"/>
        <v>0</v>
      </c>
      <c r="I90" s="188">
        <f t="shared" si="27"/>
        <v>0</v>
      </c>
      <c r="J90" s="188">
        <f t="shared" si="27"/>
        <v>0</v>
      </c>
      <c r="K90" s="188">
        <f t="shared" si="27"/>
        <v>0</v>
      </c>
      <c r="L90" s="188">
        <f t="shared" si="27"/>
        <v>0</v>
      </c>
      <c r="M90" s="188">
        <f t="shared" si="27"/>
        <v>0</v>
      </c>
      <c r="N90" s="188">
        <f t="shared" si="27"/>
        <v>0</v>
      </c>
      <c r="O90" s="188">
        <f t="shared" si="27"/>
        <v>0</v>
      </c>
      <c r="P90" s="188">
        <f t="shared" si="27"/>
        <v>0</v>
      </c>
      <c r="Q90" s="68">
        <v>0</v>
      </c>
      <c r="R90" s="41"/>
      <c r="S90" s="332">
        <f t="shared" si="28"/>
        <v>0</v>
      </c>
      <c r="T90" s="41"/>
      <c r="U90" s="362">
        <f t="shared" si="22"/>
        <v>0</v>
      </c>
      <c r="V90" s="41"/>
    </row>
    <row r="91" spans="3:23" s="37" customFormat="1" ht="12" x14ac:dyDescent="0.2">
      <c r="C91" s="206">
        <v>6568</v>
      </c>
      <c r="D91" s="37" t="s">
        <v>186</v>
      </c>
      <c r="E91" s="188">
        <f t="shared" si="27"/>
        <v>0</v>
      </c>
      <c r="F91" s="188">
        <f t="shared" si="27"/>
        <v>0</v>
      </c>
      <c r="G91" s="188">
        <f t="shared" si="27"/>
        <v>0</v>
      </c>
      <c r="H91" s="188">
        <f t="shared" si="27"/>
        <v>0</v>
      </c>
      <c r="I91" s="188">
        <f t="shared" si="27"/>
        <v>0</v>
      </c>
      <c r="J91" s="188">
        <f t="shared" si="27"/>
        <v>0</v>
      </c>
      <c r="K91" s="188">
        <f t="shared" si="27"/>
        <v>0</v>
      </c>
      <c r="L91" s="188">
        <f t="shared" si="27"/>
        <v>0</v>
      </c>
      <c r="M91" s="188">
        <f t="shared" si="27"/>
        <v>0</v>
      </c>
      <c r="N91" s="188">
        <f t="shared" si="27"/>
        <v>0</v>
      </c>
      <c r="O91" s="188">
        <f t="shared" si="27"/>
        <v>0</v>
      </c>
      <c r="P91" s="188">
        <f t="shared" si="27"/>
        <v>0</v>
      </c>
      <c r="Q91" s="68">
        <v>0</v>
      </c>
      <c r="R91" s="41"/>
      <c r="S91" s="332">
        <f t="shared" si="28"/>
        <v>0</v>
      </c>
      <c r="T91" s="41"/>
      <c r="U91" s="362">
        <f t="shared" si="22"/>
        <v>0</v>
      </c>
      <c r="V91" s="41"/>
    </row>
    <row r="92" spans="3:23" s="37" customFormat="1" ht="12" x14ac:dyDescent="0.2">
      <c r="C92" s="199">
        <v>6569</v>
      </c>
      <c r="D92" s="37" t="s">
        <v>32</v>
      </c>
      <c r="E92" s="188">
        <f t="shared" si="27"/>
        <v>0</v>
      </c>
      <c r="F92" s="188">
        <f t="shared" si="27"/>
        <v>0</v>
      </c>
      <c r="G92" s="188">
        <f t="shared" si="27"/>
        <v>0</v>
      </c>
      <c r="H92" s="188">
        <f t="shared" si="27"/>
        <v>0</v>
      </c>
      <c r="I92" s="188">
        <f t="shared" si="27"/>
        <v>0</v>
      </c>
      <c r="J92" s="188">
        <f t="shared" si="27"/>
        <v>0</v>
      </c>
      <c r="K92" s="188">
        <f t="shared" si="27"/>
        <v>0</v>
      </c>
      <c r="L92" s="188">
        <f t="shared" si="27"/>
        <v>0</v>
      </c>
      <c r="M92" s="188">
        <f t="shared" si="27"/>
        <v>0</v>
      </c>
      <c r="N92" s="188">
        <f t="shared" si="27"/>
        <v>0</v>
      </c>
      <c r="O92" s="188">
        <f t="shared" si="27"/>
        <v>0</v>
      </c>
      <c r="P92" s="188">
        <f t="shared" si="27"/>
        <v>0</v>
      </c>
      <c r="Q92" s="68">
        <v>0</v>
      </c>
      <c r="R92" s="41"/>
      <c r="S92" s="332">
        <f t="shared" si="28"/>
        <v>0</v>
      </c>
      <c r="T92" s="41"/>
      <c r="U92" s="362">
        <f t="shared" si="22"/>
        <v>0</v>
      </c>
      <c r="V92" s="41"/>
    </row>
    <row r="93" spans="3:23" s="37" customFormat="1" ht="12" x14ac:dyDescent="0.2">
      <c r="C93" s="199">
        <v>6580</v>
      </c>
      <c r="D93" s="37" t="s">
        <v>33</v>
      </c>
      <c r="E93" s="188">
        <f t="shared" si="27"/>
        <v>5017.5783333333338</v>
      </c>
      <c r="F93" s="188">
        <f t="shared" si="27"/>
        <v>5017.5783333333338</v>
      </c>
      <c r="G93" s="188">
        <f t="shared" si="27"/>
        <v>5017.5783333333338</v>
      </c>
      <c r="H93" s="188">
        <f t="shared" si="27"/>
        <v>5017.5783333333338</v>
      </c>
      <c r="I93" s="188">
        <f t="shared" si="27"/>
        <v>5017.5783333333338</v>
      </c>
      <c r="J93" s="188">
        <f t="shared" si="27"/>
        <v>5017.5783333333338</v>
      </c>
      <c r="K93" s="188">
        <f t="shared" si="27"/>
        <v>5017.5783333333338</v>
      </c>
      <c r="L93" s="188">
        <f t="shared" si="27"/>
        <v>5017.5783333333338</v>
      </c>
      <c r="M93" s="188">
        <f t="shared" si="27"/>
        <v>5017.5783333333338</v>
      </c>
      <c r="N93" s="188">
        <f t="shared" si="27"/>
        <v>5017.5783333333338</v>
      </c>
      <c r="O93" s="188">
        <f t="shared" si="27"/>
        <v>5017.5783333333338</v>
      </c>
      <c r="P93" s="188">
        <f t="shared" si="27"/>
        <v>5017.5783333333338</v>
      </c>
      <c r="Q93" s="68">
        <v>0</v>
      </c>
      <c r="R93" s="41"/>
      <c r="S93" s="332">
        <f t="shared" si="28"/>
        <v>60210.939999999995</v>
      </c>
      <c r="T93" s="41"/>
      <c r="U93" s="362">
        <f t="shared" si="22"/>
        <v>40140.626666666671</v>
      </c>
      <c r="V93" s="41"/>
      <c r="W93" s="37">
        <v>60210.94</v>
      </c>
    </row>
    <row r="94" spans="3:23" s="37" customFormat="1" ht="12" x14ac:dyDescent="0.2">
      <c r="C94" s="38"/>
      <c r="E94" s="73">
        <f>SUBTOTAL(9,E82:E93)</f>
        <v>15326.328333333335</v>
      </c>
      <c r="F94" s="73">
        <f t="shared" ref="F94:P94" si="29">SUBTOTAL(9,F82:F93)</f>
        <v>15326.328333333335</v>
      </c>
      <c r="G94" s="73">
        <f t="shared" si="29"/>
        <v>15326.328333333335</v>
      </c>
      <c r="H94" s="73">
        <f t="shared" si="29"/>
        <v>15326.328333333335</v>
      </c>
      <c r="I94" s="73">
        <f t="shared" si="29"/>
        <v>15326.328333333335</v>
      </c>
      <c r="J94" s="73">
        <f t="shared" si="29"/>
        <v>15326.328333333335</v>
      </c>
      <c r="K94" s="73">
        <f t="shared" si="29"/>
        <v>15326.328333333335</v>
      </c>
      <c r="L94" s="73">
        <f t="shared" si="29"/>
        <v>15326.328333333335</v>
      </c>
      <c r="M94" s="73">
        <f t="shared" si="29"/>
        <v>15326.328333333335</v>
      </c>
      <c r="N94" s="73">
        <f t="shared" si="29"/>
        <v>15326.328333333335</v>
      </c>
      <c r="O94" s="73">
        <f t="shared" si="29"/>
        <v>15326.328333333335</v>
      </c>
      <c r="P94" s="73">
        <f t="shared" si="29"/>
        <v>15326.328333333335</v>
      </c>
      <c r="Q94" s="73">
        <f>SUBTOTAL(9,Q82:Q93)</f>
        <v>0</v>
      </c>
      <c r="R94" s="41"/>
      <c r="S94" s="333">
        <f>SUBTOTAL(9,S82:S93)</f>
        <v>183915.94</v>
      </c>
      <c r="T94" s="41"/>
      <c r="U94" s="363">
        <f t="shared" si="22"/>
        <v>122610.62666666669</v>
      </c>
      <c r="V94" s="41"/>
    </row>
    <row r="95" spans="3:23" s="37" customFormat="1" ht="12" x14ac:dyDescent="0.2">
      <c r="C95" s="49" t="s">
        <v>102</v>
      </c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41"/>
      <c r="S95" s="332"/>
      <c r="T95" s="41"/>
      <c r="U95" s="362">
        <f t="shared" si="22"/>
        <v>0</v>
      </c>
      <c r="V95" s="41"/>
    </row>
    <row r="96" spans="3:23" s="37" customFormat="1" ht="12" x14ac:dyDescent="0.2">
      <c r="C96" s="199">
        <v>6610</v>
      </c>
      <c r="D96" s="37" t="s">
        <v>34</v>
      </c>
      <c r="E96" s="188">
        <f t="shared" ref="E96:P102" si="30">$W96/12</f>
        <v>1749.1666666666667</v>
      </c>
      <c r="F96" s="188">
        <f t="shared" si="30"/>
        <v>1749.1666666666667</v>
      </c>
      <c r="G96" s="188">
        <f t="shared" si="30"/>
        <v>1749.1666666666667</v>
      </c>
      <c r="H96" s="188">
        <f t="shared" si="30"/>
        <v>1749.1666666666667</v>
      </c>
      <c r="I96" s="188">
        <f t="shared" si="30"/>
        <v>1749.1666666666667</v>
      </c>
      <c r="J96" s="188">
        <f t="shared" si="30"/>
        <v>1749.1666666666667</v>
      </c>
      <c r="K96" s="188">
        <f t="shared" si="30"/>
        <v>1749.1666666666667</v>
      </c>
      <c r="L96" s="188">
        <f t="shared" si="30"/>
        <v>1749.1666666666667</v>
      </c>
      <c r="M96" s="188">
        <f t="shared" si="30"/>
        <v>1749.1666666666667</v>
      </c>
      <c r="N96" s="188">
        <f t="shared" si="30"/>
        <v>1749.1666666666667</v>
      </c>
      <c r="O96" s="188">
        <f t="shared" si="30"/>
        <v>1749.1666666666667</v>
      </c>
      <c r="P96" s="188">
        <f t="shared" si="30"/>
        <v>1749.1666666666667</v>
      </c>
      <c r="Q96" s="68">
        <v>0</v>
      </c>
      <c r="R96" s="41"/>
      <c r="S96" s="332">
        <f t="shared" ref="S96:S102" si="31">SUM(E96:Q96)</f>
        <v>20990</v>
      </c>
      <c r="T96" s="41"/>
      <c r="U96" s="362">
        <f t="shared" si="22"/>
        <v>13993.333333333332</v>
      </c>
      <c r="V96" s="41"/>
      <c r="W96" s="37">
        <v>20990</v>
      </c>
    </row>
    <row r="97" spans="3:23" s="37" customFormat="1" ht="12" x14ac:dyDescent="0.2">
      <c r="C97" s="199">
        <v>6612</v>
      </c>
      <c r="D97" s="37" t="s">
        <v>35</v>
      </c>
      <c r="E97" s="188">
        <f t="shared" si="30"/>
        <v>200</v>
      </c>
      <c r="F97" s="188">
        <f t="shared" si="30"/>
        <v>200</v>
      </c>
      <c r="G97" s="188">
        <f t="shared" si="30"/>
        <v>200</v>
      </c>
      <c r="H97" s="188">
        <f t="shared" si="30"/>
        <v>200</v>
      </c>
      <c r="I97" s="188">
        <f t="shared" si="30"/>
        <v>200</v>
      </c>
      <c r="J97" s="188">
        <f t="shared" si="30"/>
        <v>200</v>
      </c>
      <c r="K97" s="188">
        <f t="shared" si="30"/>
        <v>200</v>
      </c>
      <c r="L97" s="188">
        <f t="shared" si="30"/>
        <v>200</v>
      </c>
      <c r="M97" s="188">
        <f t="shared" si="30"/>
        <v>200</v>
      </c>
      <c r="N97" s="188">
        <f t="shared" si="30"/>
        <v>200</v>
      </c>
      <c r="O97" s="188">
        <f t="shared" si="30"/>
        <v>200</v>
      </c>
      <c r="P97" s="188">
        <f t="shared" si="30"/>
        <v>200</v>
      </c>
      <c r="Q97" s="68">
        <v>0</v>
      </c>
      <c r="R97" s="41"/>
      <c r="S97" s="332">
        <f t="shared" si="31"/>
        <v>2400</v>
      </c>
      <c r="T97" s="41"/>
      <c r="U97" s="362">
        <f t="shared" si="22"/>
        <v>1600</v>
      </c>
      <c r="V97" s="41"/>
      <c r="W97" s="37">
        <v>2400</v>
      </c>
    </row>
    <row r="98" spans="3:23" s="37" customFormat="1" ht="12" x14ac:dyDescent="0.2">
      <c r="C98" s="199">
        <v>6622</v>
      </c>
      <c r="D98" s="37" t="s">
        <v>36</v>
      </c>
      <c r="E98" s="188">
        <f t="shared" si="30"/>
        <v>0</v>
      </c>
      <c r="F98" s="188">
        <f t="shared" si="30"/>
        <v>0</v>
      </c>
      <c r="G98" s="188">
        <f t="shared" si="30"/>
        <v>0</v>
      </c>
      <c r="H98" s="188">
        <f t="shared" si="30"/>
        <v>0</v>
      </c>
      <c r="I98" s="188">
        <f t="shared" si="30"/>
        <v>0</v>
      </c>
      <c r="J98" s="188">
        <f t="shared" si="30"/>
        <v>0</v>
      </c>
      <c r="K98" s="188">
        <f t="shared" si="30"/>
        <v>0</v>
      </c>
      <c r="L98" s="188">
        <f t="shared" si="30"/>
        <v>0</v>
      </c>
      <c r="M98" s="188">
        <f t="shared" si="30"/>
        <v>0</v>
      </c>
      <c r="N98" s="188">
        <f t="shared" si="30"/>
        <v>0</v>
      </c>
      <c r="O98" s="188">
        <f t="shared" si="30"/>
        <v>0</v>
      </c>
      <c r="P98" s="188">
        <f t="shared" si="30"/>
        <v>0</v>
      </c>
      <c r="Q98" s="68">
        <v>0</v>
      </c>
      <c r="R98" s="41"/>
      <c r="S98" s="332">
        <f t="shared" si="31"/>
        <v>0</v>
      </c>
      <c r="T98" s="41"/>
      <c r="U98" s="362">
        <f t="shared" si="22"/>
        <v>0</v>
      </c>
      <c r="V98" s="41"/>
      <c r="W98" s="37">
        <v>0</v>
      </c>
    </row>
    <row r="99" spans="3:23" s="37" customFormat="1" ht="12" x14ac:dyDescent="0.2">
      <c r="C99" s="199">
        <v>6641</v>
      </c>
      <c r="D99" s="37" t="s">
        <v>37</v>
      </c>
      <c r="E99" s="188">
        <f t="shared" si="30"/>
        <v>0</v>
      </c>
      <c r="F99" s="188">
        <f t="shared" si="30"/>
        <v>0</v>
      </c>
      <c r="G99" s="188">
        <f t="shared" si="30"/>
        <v>0</v>
      </c>
      <c r="H99" s="188">
        <f t="shared" si="30"/>
        <v>0</v>
      </c>
      <c r="I99" s="188">
        <f t="shared" si="30"/>
        <v>0</v>
      </c>
      <c r="J99" s="188">
        <f t="shared" si="30"/>
        <v>0</v>
      </c>
      <c r="K99" s="188">
        <f t="shared" si="30"/>
        <v>0</v>
      </c>
      <c r="L99" s="188">
        <f t="shared" si="30"/>
        <v>0</v>
      </c>
      <c r="M99" s="188">
        <f t="shared" si="30"/>
        <v>0</v>
      </c>
      <c r="N99" s="188">
        <f t="shared" si="30"/>
        <v>0</v>
      </c>
      <c r="O99" s="188">
        <f t="shared" si="30"/>
        <v>0</v>
      </c>
      <c r="P99" s="188">
        <f t="shared" si="30"/>
        <v>0</v>
      </c>
      <c r="Q99" s="68">
        <v>0</v>
      </c>
      <c r="R99" s="41"/>
      <c r="S99" s="332">
        <f t="shared" si="31"/>
        <v>0</v>
      </c>
      <c r="T99" s="41"/>
      <c r="U99" s="362">
        <f t="shared" si="22"/>
        <v>0</v>
      </c>
      <c r="V99" s="41"/>
      <c r="W99" s="37">
        <v>0</v>
      </c>
    </row>
    <row r="100" spans="3:23" s="37" customFormat="1" ht="12" x14ac:dyDescent="0.2">
      <c r="C100" s="199">
        <v>6642</v>
      </c>
      <c r="D100" s="37" t="s">
        <v>38</v>
      </c>
      <c r="E100" s="188">
        <f t="shared" si="30"/>
        <v>0</v>
      </c>
      <c r="F100" s="188">
        <f t="shared" si="30"/>
        <v>0</v>
      </c>
      <c r="G100" s="188">
        <f t="shared" si="30"/>
        <v>0</v>
      </c>
      <c r="H100" s="188">
        <f t="shared" si="30"/>
        <v>0</v>
      </c>
      <c r="I100" s="188">
        <f t="shared" si="30"/>
        <v>0</v>
      </c>
      <c r="J100" s="188">
        <f t="shared" si="30"/>
        <v>0</v>
      </c>
      <c r="K100" s="188">
        <f t="shared" si="30"/>
        <v>0</v>
      </c>
      <c r="L100" s="188">
        <f t="shared" si="30"/>
        <v>0</v>
      </c>
      <c r="M100" s="188">
        <f t="shared" si="30"/>
        <v>0</v>
      </c>
      <c r="N100" s="188">
        <f t="shared" si="30"/>
        <v>0</v>
      </c>
      <c r="O100" s="188">
        <f t="shared" si="30"/>
        <v>0</v>
      </c>
      <c r="P100" s="188">
        <f t="shared" si="30"/>
        <v>0</v>
      </c>
      <c r="Q100" s="68">
        <v>0</v>
      </c>
      <c r="R100" s="41"/>
      <c r="S100" s="332">
        <f t="shared" si="31"/>
        <v>0</v>
      </c>
      <c r="T100" s="41"/>
      <c r="U100" s="362">
        <f t="shared" si="22"/>
        <v>0</v>
      </c>
      <c r="V100" s="41"/>
      <c r="W100" s="37">
        <v>0</v>
      </c>
    </row>
    <row r="101" spans="3:23" s="37" customFormat="1" ht="12" x14ac:dyDescent="0.2">
      <c r="C101" s="199">
        <v>6651</v>
      </c>
      <c r="D101" s="37" t="s">
        <v>39</v>
      </c>
      <c r="E101" s="188">
        <f t="shared" si="30"/>
        <v>3775.5</v>
      </c>
      <c r="F101" s="188">
        <f t="shared" si="30"/>
        <v>3775.5</v>
      </c>
      <c r="G101" s="188">
        <f t="shared" si="30"/>
        <v>3775.5</v>
      </c>
      <c r="H101" s="188">
        <f t="shared" si="30"/>
        <v>3775.5</v>
      </c>
      <c r="I101" s="188">
        <f t="shared" si="30"/>
        <v>3775.5</v>
      </c>
      <c r="J101" s="188">
        <f t="shared" si="30"/>
        <v>3775.5</v>
      </c>
      <c r="K101" s="188">
        <f t="shared" si="30"/>
        <v>3775.5</v>
      </c>
      <c r="L101" s="188">
        <f t="shared" si="30"/>
        <v>3775.5</v>
      </c>
      <c r="M101" s="188">
        <f t="shared" si="30"/>
        <v>3775.5</v>
      </c>
      <c r="N101" s="188">
        <f t="shared" si="30"/>
        <v>3775.5</v>
      </c>
      <c r="O101" s="188">
        <f t="shared" si="30"/>
        <v>3775.5</v>
      </c>
      <c r="P101" s="188">
        <f t="shared" si="30"/>
        <v>3775.5</v>
      </c>
      <c r="Q101" s="68">
        <v>0</v>
      </c>
      <c r="R101" s="41"/>
      <c r="S101" s="332">
        <f t="shared" si="31"/>
        <v>45306</v>
      </c>
      <c r="T101" s="41"/>
      <c r="U101" s="362">
        <f t="shared" si="22"/>
        <v>30204</v>
      </c>
      <c r="V101" s="41"/>
      <c r="W101" s="37">
        <v>45306</v>
      </c>
    </row>
    <row r="102" spans="3:23" s="37" customFormat="1" ht="12" x14ac:dyDescent="0.2">
      <c r="C102" s="199">
        <v>6652</v>
      </c>
      <c r="D102" s="37" t="s">
        <v>40</v>
      </c>
      <c r="E102" s="188">
        <f t="shared" si="30"/>
        <v>0</v>
      </c>
      <c r="F102" s="188">
        <f t="shared" si="30"/>
        <v>0</v>
      </c>
      <c r="G102" s="188">
        <f t="shared" si="30"/>
        <v>0</v>
      </c>
      <c r="H102" s="188">
        <f t="shared" si="30"/>
        <v>0</v>
      </c>
      <c r="I102" s="188">
        <f t="shared" si="30"/>
        <v>0</v>
      </c>
      <c r="J102" s="188">
        <f t="shared" si="30"/>
        <v>0</v>
      </c>
      <c r="K102" s="188">
        <f t="shared" si="30"/>
        <v>0</v>
      </c>
      <c r="L102" s="188">
        <f t="shared" si="30"/>
        <v>0</v>
      </c>
      <c r="M102" s="188">
        <f t="shared" si="30"/>
        <v>0</v>
      </c>
      <c r="N102" s="188">
        <f t="shared" si="30"/>
        <v>0</v>
      </c>
      <c r="O102" s="188">
        <f t="shared" si="30"/>
        <v>0</v>
      </c>
      <c r="P102" s="188">
        <f t="shared" si="30"/>
        <v>0</v>
      </c>
      <c r="Q102" s="68">
        <v>0</v>
      </c>
      <c r="R102" s="41"/>
      <c r="S102" s="332">
        <f t="shared" si="31"/>
        <v>0</v>
      </c>
      <c r="T102" s="41"/>
      <c r="U102" s="362">
        <f t="shared" si="22"/>
        <v>0</v>
      </c>
      <c r="V102" s="41"/>
    </row>
    <row r="103" spans="3:23" s="37" customFormat="1" ht="12" x14ac:dyDescent="0.2">
      <c r="C103" s="38"/>
      <c r="E103" s="73">
        <f>SUBTOTAL(9,E96:E102)</f>
        <v>5724.666666666667</v>
      </c>
      <c r="F103" s="73">
        <f t="shared" ref="F103:S103" si="32">SUBTOTAL(9,F96:F102)</f>
        <v>5724.666666666667</v>
      </c>
      <c r="G103" s="73">
        <f t="shared" si="32"/>
        <v>5724.666666666667</v>
      </c>
      <c r="H103" s="73">
        <f t="shared" si="32"/>
        <v>5724.666666666667</v>
      </c>
      <c r="I103" s="73">
        <f t="shared" si="32"/>
        <v>5724.666666666667</v>
      </c>
      <c r="J103" s="73">
        <f t="shared" si="32"/>
        <v>5724.666666666667</v>
      </c>
      <c r="K103" s="73">
        <f t="shared" si="32"/>
        <v>5724.666666666667</v>
      </c>
      <c r="L103" s="73">
        <f t="shared" si="32"/>
        <v>5724.666666666667</v>
      </c>
      <c r="M103" s="73">
        <f t="shared" si="32"/>
        <v>5724.666666666667</v>
      </c>
      <c r="N103" s="73">
        <f t="shared" si="32"/>
        <v>5724.666666666667</v>
      </c>
      <c r="O103" s="73">
        <f t="shared" si="32"/>
        <v>5724.666666666667</v>
      </c>
      <c r="P103" s="73">
        <f t="shared" si="32"/>
        <v>5724.666666666667</v>
      </c>
      <c r="Q103" s="73">
        <f t="shared" si="32"/>
        <v>0</v>
      </c>
      <c r="R103" s="41"/>
      <c r="S103" s="333">
        <f t="shared" si="32"/>
        <v>68696</v>
      </c>
      <c r="T103" s="41"/>
      <c r="U103" s="363">
        <f t="shared" si="22"/>
        <v>45797.333333333328</v>
      </c>
      <c r="V103" s="41"/>
    </row>
    <row r="104" spans="3:23" s="37" customFormat="1" ht="12" x14ac:dyDescent="0.2">
      <c r="C104" s="49" t="s">
        <v>103</v>
      </c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41"/>
      <c r="S104" s="332"/>
      <c r="T104" s="41"/>
      <c r="U104" s="362">
        <f t="shared" si="22"/>
        <v>0</v>
      </c>
      <c r="V104" s="41"/>
    </row>
    <row r="105" spans="3:23" s="37" customFormat="1" ht="12" x14ac:dyDescent="0.2">
      <c r="C105" s="199">
        <v>6734</v>
      </c>
      <c r="D105" s="37" t="s">
        <v>41</v>
      </c>
      <c r="E105" s="188">
        <f t="shared" ref="E105:P105" si="33">$W105/12</f>
        <v>0</v>
      </c>
      <c r="F105" s="188">
        <f t="shared" si="33"/>
        <v>0</v>
      </c>
      <c r="G105" s="188">
        <f t="shared" si="33"/>
        <v>0</v>
      </c>
      <c r="H105" s="188">
        <f t="shared" si="33"/>
        <v>0</v>
      </c>
      <c r="I105" s="188">
        <f t="shared" si="33"/>
        <v>0</v>
      </c>
      <c r="J105" s="188">
        <f t="shared" si="33"/>
        <v>0</v>
      </c>
      <c r="K105" s="188">
        <f t="shared" si="33"/>
        <v>0</v>
      </c>
      <c r="L105" s="188">
        <f t="shared" si="33"/>
        <v>0</v>
      </c>
      <c r="M105" s="188">
        <f t="shared" si="33"/>
        <v>0</v>
      </c>
      <c r="N105" s="188">
        <f t="shared" si="33"/>
        <v>0</v>
      </c>
      <c r="O105" s="188">
        <f t="shared" si="33"/>
        <v>0</v>
      </c>
      <c r="P105" s="188">
        <f t="shared" si="33"/>
        <v>0</v>
      </c>
      <c r="Q105" s="68">
        <v>0</v>
      </c>
      <c r="R105" s="41"/>
      <c r="S105" s="332">
        <f t="shared" ref="S105" si="34">SUM(E105:Q105)</f>
        <v>0</v>
      </c>
      <c r="T105" s="41"/>
      <c r="U105" s="362">
        <f t="shared" si="22"/>
        <v>0</v>
      </c>
      <c r="V105" s="41"/>
    </row>
    <row r="106" spans="3:23" s="37" customFormat="1" ht="12" x14ac:dyDescent="0.2">
      <c r="C106" s="38"/>
      <c r="E106" s="73">
        <f>SUBTOTAL(9,E105)</f>
        <v>0</v>
      </c>
      <c r="F106" s="73">
        <f t="shared" ref="F106:S106" si="35">SUBTOTAL(9,F105)</f>
        <v>0</v>
      </c>
      <c r="G106" s="73">
        <f t="shared" si="35"/>
        <v>0</v>
      </c>
      <c r="H106" s="73">
        <f t="shared" si="35"/>
        <v>0</v>
      </c>
      <c r="I106" s="73">
        <f t="shared" si="35"/>
        <v>0</v>
      </c>
      <c r="J106" s="73">
        <f t="shared" si="35"/>
        <v>0</v>
      </c>
      <c r="K106" s="73">
        <f t="shared" si="35"/>
        <v>0</v>
      </c>
      <c r="L106" s="73">
        <f t="shared" si="35"/>
        <v>0</v>
      </c>
      <c r="M106" s="73">
        <f t="shared" si="35"/>
        <v>0</v>
      </c>
      <c r="N106" s="73">
        <f t="shared" si="35"/>
        <v>0</v>
      </c>
      <c r="O106" s="73">
        <f t="shared" si="35"/>
        <v>0</v>
      </c>
      <c r="P106" s="73">
        <f t="shared" si="35"/>
        <v>0</v>
      </c>
      <c r="Q106" s="73">
        <f t="shared" si="35"/>
        <v>0</v>
      </c>
      <c r="R106" s="41"/>
      <c r="S106" s="333">
        <f t="shared" si="35"/>
        <v>0</v>
      </c>
      <c r="T106" s="41"/>
      <c r="U106" s="363">
        <f t="shared" si="22"/>
        <v>0</v>
      </c>
      <c r="V106" s="41"/>
    </row>
    <row r="107" spans="3:23" s="37" customFormat="1" ht="12" x14ac:dyDescent="0.2">
      <c r="C107" s="49" t="s">
        <v>104</v>
      </c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41"/>
      <c r="S107" s="332"/>
      <c r="T107" s="41"/>
      <c r="U107" s="362">
        <f t="shared" si="22"/>
        <v>0</v>
      </c>
      <c r="V107" s="41"/>
    </row>
    <row r="108" spans="3:23" s="37" customFormat="1" ht="12" x14ac:dyDescent="0.2">
      <c r="C108" s="199">
        <v>6810</v>
      </c>
      <c r="D108" s="37" t="s">
        <v>42</v>
      </c>
      <c r="E108" s="188">
        <f t="shared" ref="E108:P108" si="36">$W108/12</f>
        <v>1756.5833333333333</v>
      </c>
      <c r="F108" s="188">
        <f t="shared" si="36"/>
        <v>1756.5833333333333</v>
      </c>
      <c r="G108" s="188">
        <f t="shared" si="36"/>
        <v>1756.5833333333333</v>
      </c>
      <c r="H108" s="188">
        <f t="shared" si="36"/>
        <v>1756.5833333333333</v>
      </c>
      <c r="I108" s="188">
        <f t="shared" si="36"/>
        <v>1756.5833333333333</v>
      </c>
      <c r="J108" s="188">
        <f t="shared" si="36"/>
        <v>1756.5833333333333</v>
      </c>
      <c r="K108" s="188">
        <f t="shared" si="36"/>
        <v>1756.5833333333333</v>
      </c>
      <c r="L108" s="188">
        <f t="shared" si="36"/>
        <v>1756.5833333333333</v>
      </c>
      <c r="M108" s="188">
        <f t="shared" si="36"/>
        <v>1756.5833333333333</v>
      </c>
      <c r="N108" s="188">
        <f t="shared" si="36"/>
        <v>1756.5833333333333</v>
      </c>
      <c r="O108" s="188">
        <f t="shared" si="36"/>
        <v>1756.5833333333333</v>
      </c>
      <c r="P108" s="188">
        <f t="shared" si="36"/>
        <v>1756.5833333333333</v>
      </c>
      <c r="Q108" s="68">
        <v>0</v>
      </c>
      <c r="R108" s="41"/>
      <c r="S108" s="332">
        <f t="shared" ref="S108" si="37">SUM(E108:Q108)</f>
        <v>21079</v>
      </c>
      <c r="T108" s="41"/>
      <c r="U108" s="362">
        <f t="shared" si="22"/>
        <v>14052.666666666668</v>
      </c>
      <c r="V108" s="41"/>
      <c r="W108" s="37">
        <v>21079</v>
      </c>
    </row>
    <row r="109" spans="3:23" s="37" customFormat="1" ht="12" x14ac:dyDescent="0.2">
      <c r="C109" s="38"/>
      <c r="E109" s="73">
        <f>SUBTOTAL(9,E108)</f>
        <v>1756.5833333333333</v>
      </c>
      <c r="F109" s="73">
        <f t="shared" ref="F109:Q109" si="38">SUBTOTAL(9,F108)</f>
        <v>1756.5833333333333</v>
      </c>
      <c r="G109" s="73">
        <f t="shared" si="38"/>
        <v>1756.5833333333333</v>
      </c>
      <c r="H109" s="73">
        <f t="shared" si="38"/>
        <v>1756.5833333333333</v>
      </c>
      <c r="I109" s="73">
        <f t="shared" si="38"/>
        <v>1756.5833333333333</v>
      </c>
      <c r="J109" s="73">
        <f t="shared" si="38"/>
        <v>1756.5833333333333</v>
      </c>
      <c r="K109" s="73">
        <f t="shared" si="38"/>
        <v>1756.5833333333333</v>
      </c>
      <c r="L109" s="73">
        <f t="shared" si="38"/>
        <v>1756.5833333333333</v>
      </c>
      <c r="M109" s="73">
        <f t="shared" si="38"/>
        <v>1756.5833333333333</v>
      </c>
      <c r="N109" s="73">
        <f t="shared" si="38"/>
        <v>1756.5833333333333</v>
      </c>
      <c r="O109" s="73">
        <f t="shared" si="38"/>
        <v>1756.5833333333333</v>
      </c>
      <c r="P109" s="73">
        <f t="shared" si="38"/>
        <v>1756.5833333333333</v>
      </c>
      <c r="Q109" s="73">
        <f t="shared" si="38"/>
        <v>0</v>
      </c>
      <c r="R109" s="41"/>
      <c r="S109" s="333">
        <f t="shared" ref="S109" si="39">SUBTOTAL(9,S108)</f>
        <v>21079</v>
      </c>
      <c r="T109" s="41"/>
      <c r="U109" s="363">
        <f t="shared" si="22"/>
        <v>14052.666666666668</v>
      </c>
      <c r="V109" s="41"/>
    </row>
    <row r="110" spans="3:23" s="45" customFormat="1" ht="12" x14ac:dyDescent="0.2">
      <c r="C110" s="49" t="s">
        <v>43</v>
      </c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5"/>
      <c r="R110" s="48"/>
      <c r="S110" s="334"/>
      <c r="T110" s="48"/>
      <c r="U110" s="366">
        <f t="shared" si="22"/>
        <v>0</v>
      </c>
      <c r="V110" s="48"/>
    </row>
    <row r="111" spans="3:23" s="37" customFormat="1" ht="12" x14ac:dyDescent="0.2">
      <c r="C111" s="199">
        <v>7306</v>
      </c>
      <c r="D111" s="37" t="s">
        <v>43</v>
      </c>
      <c r="E111" s="188">
        <f t="shared" ref="E111:P112" si="40">$W111/12</f>
        <v>0</v>
      </c>
      <c r="F111" s="188">
        <f t="shared" si="40"/>
        <v>0</v>
      </c>
      <c r="G111" s="188">
        <f t="shared" si="40"/>
        <v>0</v>
      </c>
      <c r="H111" s="188">
        <f t="shared" si="40"/>
        <v>0</v>
      </c>
      <c r="I111" s="188">
        <f t="shared" si="40"/>
        <v>0</v>
      </c>
      <c r="J111" s="188">
        <f t="shared" si="40"/>
        <v>0</v>
      </c>
      <c r="K111" s="188">
        <f t="shared" si="40"/>
        <v>0</v>
      </c>
      <c r="L111" s="188">
        <f t="shared" si="40"/>
        <v>0</v>
      </c>
      <c r="M111" s="188">
        <f t="shared" si="40"/>
        <v>0</v>
      </c>
      <c r="N111" s="188">
        <f t="shared" si="40"/>
        <v>0</v>
      </c>
      <c r="O111" s="188">
        <f t="shared" si="40"/>
        <v>0</v>
      </c>
      <c r="P111" s="188">
        <f t="shared" si="40"/>
        <v>0</v>
      </c>
      <c r="Q111" s="68">
        <v>0</v>
      </c>
      <c r="R111" s="41"/>
      <c r="S111" s="334">
        <f t="shared" ref="S111:S112" si="41">SUM(E111:Q111)</f>
        <v>0</v>
      </c>
      <c r="T111" s="41"/>
      <c r="U111" s="364">
        <f t="shared" si="22"/>
        <v>0</v>
      </c>
      <c r="V111" s="41"/>
    </row>
    <row r="112" spans="3:23" s="37" customFormat="1" ht="12" x14ac:dyDescent="0.2">
      <c r="C112" s="38">
        <v>7901</v>
      </c>
      <c r="D112" s="37" t="s">
        <v>177</v>
      </c>
      <c r="E112" s="188">
        <f t="shared" si="40"/>
        <v>0</v>
      </c>
      <c r="F112" s="188">
        <f t="shared" si="40"/>
        <v>0</v>
      </c>
      <c r="G112" s="188">
        <f t="shared" si="40"/>
        <v>0</v>
      </c>
      <c r="H112" s="188">
        <f t="shared" si="40"/>
        <v>0</v>
      </c>
      <c r="I112" s="188">
        <f t="shared" si="40"/>
        <v>0</v>
      </c>
      <c r="J112" s="188">
        <f t="shared" si="40"/>
        <v>0</v>
      </c>
      <c r="K112" s="188">
        <f t="shared" si="40"/>
        <v>0</v>
      </c>
      <c r="L112" s="188">
        <f t="shared" si="40"/>
        <v>0</v>
      </c>
      <c r="M112" s="188">
        <f t="shared" si="40"/>
        <v>0</v>
      </c>
      <c r="N112" s="188">
        <f t="shared" si="40"/>
        <v>0</v>
      </c>
      <c r="O112" s="188">
        <f t="shared" si="40"/>
        <v>0</v>
      </c>
      <c r="P112" s="188">
        <f t="shared" si="40"/>
        <v>0</v>
      </c>
      <c r="Q112" s="70">
        <v>0</v>
      </c>
      <c r="R112" s="41"/>
      <c r="S112" s="334">
        <f t="shared" si="41"/>
        <v>0</v>
      </c>
      <c r="T112" s="41"/>
      <c r="U112" s="364">
        <f t="shared" si="22"/>
        <v>0</v>
      </c>
      <c r="V112" s="41"/>
    </row>
    <row r="113" spans="1:22" s="37" customFormat="1" ht="12" x14ac:dyDescent="0.2">
      <c r="C113" s="38"/>
      <c r="E113" s="73">
        <f>SUBTOTAL(9,E111:E112)</f>
        <v>0</v>
      </c>
      <c r="F113" s="73">
        <f t="shared" ref="F113:P113" si="42">SUBTOTAL(9,F111:F112)</f>
        <v>0</v>
      </c>
      <c r="G113" s="73">
        <f t="shared" si="42"/>
        <v>0</v>
      </c>
      <c r="H113" s="73">
        <f t="shared" si="42"/>
        <v>0</v>
      </c>
      <c r="I113" s="73">
        <f t="shared" si="42"/>
        <v>0</v>
      </c>
      <c r="J113" s="73">
        <f t="shared" si="42"/>
        <v>0</v>
      </c>
      <c r="K113" s="73">
        <f t="shared" si="42"/>
        <v>0</v>
      </c>
      <c r="L113" s="73">
        <f t="shared" si="42"/>
        <v>0</v>
      </c>
      <c r="M113" s="73">
        <f t="shared" si="42"/>
        <v>0</v>
      </c>
      <c r="N113" s="73">
        <f t="shared" si="42"/>
        <v>0</v>
      </c>
      <c r="O113" s="73">
        <f t="shared" si="42"/>
        <v>0</v>
      </c>
      <c r="P113" s="73">
        <f t="shared" si="42"/>
        <v>0</v>
      </c>
      <c r="Q113" s="73">
        <f>SUBTOTAL(9,Q111:Q112)</f>
        <v>0</v>
      </c>
      <c r="R113" s="41"/>
      <c r="S113" s="333">
        <f>SUBTOTAL(9,S111:S112)</f>
        <v>0</v>
      </c>
      <c r="T113" s="41"/>
      <c r="U113" s="363">
        <f t="shared" si="22"/>
        <v>0</v>
      </c>
      <c r="V113" s="41"/>
    </row>
    <row r="114" spans="1:22" s="37" customFormat="1" ht="9" customHeight="1" x14ac:dyDescent="0.2">
      <c r="C114" s="38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41"/>
      <c r="S114" s="332"/>
      <c r="T114" s="41"/>
      <c r="U114" s="362">
        <f t="shared" si="22"/>
        <v>0</v>
      </c>
      <c r="V114" s="41"/>
    </row>
    <row r="115" spans="1:22" s="45" customFormat="1" ht="12" x14ac:dyDescent="0.2">
      <c r="A115" s="45" t="s">
        <v>107</v>
      </c>
      <c r="C115" s="46"/>
      <c r="E115" s="71">
        <f t="shared" ref="E115:Q115" si="43">SUBTOTAL(9,E30:E114)</f>
        <v>164024.17024909376</v>
      </c>
      <c r="F115" s="71">
        <f t="shared" si="43"/>
        <v>164024.17024909376</v>
      </c>
      <c r="G115" s="71">
        <f t="shared" si="43"/>
        <v>164024.17024909376</v>
      </c>
      <c r="H115" s="71">
        <f t="shared" si="43"/>
        <v>164024.17024909376</v>
      </c>
      <c r="I115" s="71">
        <f t="shared" si="43"/>
        <v>164024.17024909376</v>
      </c>
      <c r="J115" s="71">
        <f t="shared" si="43"/>
        <v>164024.17024909376</v>
      </c>
      <c r="K115" s="71">
        <f t="shared" si="43"/>
        <v>164024.17024909376</v>
      </c>
      <c r="L115" s="71">
        <f t="shared" si="43"/>
        <v>164024.17024909376</v>
      </c>
      <c r="M115" s="71">
        <f t="shared" si="43"/>
        <v>164024.17024909376</v>
      </c>
      <c r="N115" s="71">
        <f t="shared" si="43"/>
        <v>164024.17024909376</v>
      </c>
      <c r="O115" s="71">
        <f t="shared" si="43"/>
        <v>164024.17024909376</v>
      </c>
      <c r="P115" s="71">
        <f t="shared" si="43"/>
        <v>164024.17024909376</v>
      </c>
      <c r="Q115" s="69">
        <f t="shared" si="43"/>
        <v>0</v>
      </c>
      <c r="R115" s="48"/>
      <c r="S115" s="335">
        <f>SUBTOTAL(9,S30:S114)</f>
        <v>1968290.0429891248</v>
      </c>
      <c r="T115" s="48"/>
      <c r="U115" s="365">
        <f t="shared" si="22"/>
        <v>1312193.3619927501</v>
      </c>
      <c r="V115" s="48"/>
    </row>
    <row r="116" spans="1:22" s="37" customFormat="1" ht="12" x14ac:dyDescent="0.2">
      <c r="C116" s="38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41"/>
      <c r="S116" s="332"/>
      <c r="T116" s="41"/>
      <c r="U116" s="362">
        <f t="shared" si="22"/>
        <v>0</v>
      </c>
      <c r="V116" s="41"/>
    </row>
    <row r="117" spans="1:22" s="45" customFormat="1" ht="12.75" thickBot="1" x14ac:dyDescent="0.25">
      <c r="A117" s="45" t="s">
        <v>108</v>
      </c>
      <c r="C117" s="46"/>
      <c r="E117" s="193">
        <f t="shared" ref="E117:Q117" si="44">E27-E115</f>
        <v>14526.741417572921</v>
      </c>
      <c r="F117" s="193">
        <f t="shared" si="44"/>
        <v>14526.741417572921</v>
      </c>
      <c r="G117" s="193">
        <f t="shared" si="44"/>
        <v>14526.741417572921</v>
      </c>
      <c r="H117" s="193">
        <f t="shared" si="44"/>
        <v>14526.741417572921</v>
      </c>
      <c r="I117" s="193">
        <f t="shared" si="44"/>
        <v>14526.741417572921</v>
      </c>
      <c r="J117" s="193">
        <f t="shared" si="44"/>
        <v>14526.741417572921</v>
      </c>
      <c r="K117" s="193">
        <f t="shared" si="44"/>
        <v>14526.741417572921</v>
      </c>
      <c r="L117" s="193">
        <f t="shared" si="44"/>
        <v>14526.741417572921</v>
      </c>
      <c r="M117" s="193">
        <f t="shared" si="44"/>
        <v>14526.741417572921</v>
      </c>
      <c r="N117" s="193">
        <f t="shared" si="44"/>
        <v>14526.741417572921</v>
      </c>
      <c r="O117" s="193">
        <f t="shared" si="44"/>
        <v>14526.741417572921</v>
      </c>
      <c r="P117" s="193">
        <f t="shared" si="44"/>
        <v>14526.741417572921</v>
      </c>
      <c r="Q117" s="193">
        <f t="shared" si="44"/>
        <v>2.6800000000062028</v>
      </c>
      <c r="R117" s="191"/>
      <c r="S117" s="336">
        <f>S27-S115</f>
        <v>174323.57701087533</v>
      </c>
      <c r="T117" s="191"/>
      <c r="U117" s="367">
        <f t="shared" si="22"/>
        <v>116213.93134058337</v>
      </c>
      <c r="V117" s="191"/>
    </row>
    <row r="118" spans="1:22" s="37" customFormat="1" ht="12.75" thickTop="1" x14ac:dyDescent="0.2">
      <c r="C118" s="38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41"/>
      <c r="S118" s="337"/>
      <c r="T118" s="41"/>
      <c r="U118" s="362"/>
      <c r="V118" s="41"/>
    </row>
    <row r="119" spans="1:22" s="37" customFormat="1" ht="12" x14ac:dyDescent="0.2">
      <c r="A119" s="53" t="s">
        <v>109</v>
      </c>
      <c r="B119" s="54"/>
      <c r="C119" s="54"/>
      <c r="D119" s="54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41"/>
      <c r="S119" s="337"/>
      <c r="T119" s="41"/>
      <c r="U119" s="362"/>
      <c r="V119" s="41"/>
    </row>
    <row r="120" spans="1:22" s="37" customFormat="1" ht="12" x14ac:dyDescent="0.2">
      <c r="A120" s="53"/>
      <c r="B120" s="53"/>
      <c r="C120" s="54" t="s">
        <v>110</v>
      </c>
      <c r="D120" s="54"/>
      <c r="E120" s="67">
        <f>E117</f>
        <v>14526.741417572921</v>
      </c>
      <c r="F120" s="67">
        <f t="shared" ref="F120:Q120" si="45">F117</f>
        <v>14526.741417572921</v>
      </c>
      <c r="G120" s="67">
        <f t="shared" si="45"/>
        <v>14526.741417572921</v>
      </c>
      <c r="H120" s="67">
        <f t="shared" si="45"/>
        <v>14526.741417572921</v>
      </c>
      <c r="I120" s="67">
        <f t="shared" si="45"/>
        <v>14526.741417572921</v>
      </c>
      <c r="J120" s="67">
        <f t="shared" si="45"/>
        <v>14526.741417572921</v>
      </c>
      <c r="K120" s="67">
        <f t="shared" si="45"/>
        <v>14526.741417572921</v>
      </c>
      <c r="L120" s="67">
        <f t="shared" si="45"/>
        <v>14526.741417572921</v>
      </c>
      <c r="M120" s="67">
        <f t="shared" si="45"/>
        <v>14526.741417572921</v>
      </c>
      <c r="N120" s="67">
        <f t="shared" si="45"/>
        <v>14526.741417572921</v>
      </c>
      <c r="O120" s="67">
        <f t="shared" si="45"/>
        <v>14526.741417572921</v>
      </c>
      <c r="P120" s="67">
        <f t="shared" si="45"/>
        <v>14526.741417572921</v>
      </c>
      <c r="Q120" s="67">
        <f t="shared" si="45"/>
        <v>2.6800000000062028</v>
      </c>
      <c r="R120" s="41"/>
      <c r="S120" s="337"/>
      <c r="T120" s="41"/>
      <c r="U120" s="362"/>
      <c r="V120" s="41"/>
    </row>
    <row r="121" spans="1:22" s="37" customFormat="1" ht="12" x14ac:dyDescent="0.2">
      <c r="A121" s="54"/>
      <c r="B121" s="54" t="s">
        <v>111</v>
      </c>
      <c r="C121" s="54" t="s">
        <v>112</v>
      </c>
      <c r="D121" s="54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41"/>
      <c r="S121" s="337"/>
      <c r="T121" s="41"/>
      <c r="U121" s="362"/>
      <c r="V121" s="41"/>
    </row>
    <row r="122" spans="1:22" s="37" customFormat="1" ht="12" x14ac:dyDescent="0.2">
      <c r="A122" s="54"/>
      <c r="B122" s="54" t="s">
        <v>111</v>
      </c>
      <c r="C122" s="54"/>
      <c r="D122" s="55" t="s">
        <v>113</v>
      </c>
      <c r="E122" s="67">
        <v>0</v>
      </c>
      <c r="F122" s="67">
        <v>0</v>
      </c>
      <c r="G122" s="67">
        <v>0</v>
      </c>
      <c r="H122" s="67">
        <v>0</v>
      </c>
      <c r="I122" s="67">
        <v>0</v>
      </c>
      <c r="J122" s="67">
        <v>0</v>
      </c>
      <c r="K122" s="67">
        <v>0</v>
      </c>
      <c r="L122" s="67">
        <v>0</v>
      </c>
      <c r="M122" s="67">
        <v>0</v>
      </c>
      <c r="N122" s="67">
        <v>0</v>
      </c>
      <c r="O122" s="67">
        <v>0</v>
      </c>
      <c r="P122" s="67">
        <v>0</v>
      </c>
      <c r="Q122" s="67">
        <v>0</v>
      </c>
      <c r="R122" s="41"/>
      <c r="S122" s="337"/>
      <c r="T122" s="41"/>
      <c r="U122" s="362"/>
      <c r="V122" s="41"/>
    </row>
    <row r="123" spans="1:22" s="37" customFormat="1" ht="12" x14ac:dyDescent="0.2">
      <c r="A123" s="54"/>
      <c r="B123" s="54" t="s">
        <v>111</v>
      </c>
      <c r="C123" s="54"/>
      <c r="D123" s="55" t="s">
        <v>114</v>
      </c>
      <c r="E123" s="67">
        <v>0</v>
      </c>
      <c r="F123" s="67">
        <v>0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67">
        <v>0</v>
      </c>
      <c r="M123" s="67">
        <v>0</v>
      </c>
      <c r="N123" s="67">
        <v>0</v>
      </c>
      <c r="O123" s="67">
        <v>0</v>
      </c>
      <c r="P123" s="67">
        <v>0</v>
      </c>
      <c r="Q123" s="67">
        <v>-2.6800000000062028</v>
      </c>
      <c r="R123" s="41"/>
      <c r="S123" s="337"/>
      <c r="T123" s="41"/>
      <c r="U123" s="362"/>
      <c r="V123" s="41"/>
    </row>
    <row r="124" spans="1:22" s="37" customFormat="1" ht="12" x14ac:dyDescent="0.2">
      <c r="A124" s="54"/>
      <c r="B124" s="54" t="s">
        <v>111</v>
      </c>
      <c r="C124" s="54"/>
      <c r="D124" s="55" t="s">
        <v>115</v>
      </c>
      <c r="E124" s="67">
        <v>0</v>
      </c>
      <c r="F124" s="67">
        <v>0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67">
        <v>0</v>
      </c>
      <c r="M124" s="67">
        <v>0</v>
      </c>
      <c r="N124" s="67">
        <v>0</v>
      </c>
      <c r="O124" s="67">
        <v>0</v>
      </c>
      <c r="P124" s="67">
        <v>0</v>
      </c>
      <c r="Q124" s="67">
        <v>0</v>
      </c>
      <c r="R124" s="41"/>
      <c r="S124" s="337"/>
      <c r="T124" s="41"/>
      <c r="U124" s="362"/>
      <c r="V124" s="41"/>
    </row>
    <row r="125" spans="1:22" s="37" customFormat="1" ht="12" x14ac:dyDescent="0.2">
      <c r="A125" s="54"/>
      <c r="B125" s="54" t="s">
        <v>111</v>
      </c>
      <c r="C125" s="54"/>
      <c r="D125" s="55" t="s">
        <v>116</v>
      </c>
      <c r="E125" s="67">
        <v>0</v>
      </c>
      <c r="F125" s="67">
        <v>0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  <c r="M125" s="67">
        <v>0</v>
      </c>
      <c r="N125" s="67">
        <v>0</v>
      </c>
      <c r="O125" s="67">
        <v>0</v>
      </c>
      <c r="P125" s="67">
        <v>0</v>
      </c>
      <c r="Q125" s="67">
        <v>0</v>
      </c>
      <c r="R125" s="41"/>
      <c r="S125" s="337"/>
      <c r="T125" s="41"/>
      <c r="U125" s="362"/>
      <c r="V125" s="41"/>
    </row>
    <row r="126" spans="1:22" s="37" customFormat="1" ht="12" x14ac:dyDescent="0.2">
      <c r="A126" s="54"/>
      <c r="B126" s="54" t="s">
        <v>111</v>
      </c>
      <c r="C126" s="54"/>
      <c r="D126" s="55" t="s">
        <v>117</v>
      </c>
      <c r="E126" s="67">
        <v>0</v>
      </c>
      <c r="F126" s="67">
        <v>0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67">
        <v>0</v>
      </c>
      <c r="M126" s="67">
        <v>0</v>
      </c>
      <c r="N126" s="67">
        <v>0</v>
      </c>
      <c r="O126" s="67">
        <v>0</v>
      </c>
      <c r="P126" s="67">
        <v>0</v>
      </c>
      <c r="Q126" s="67">
        <v>0</v>
      </c>
      <c r="R126" s="41"/>
      <c r="S126" s="337"/>
      <c r="T126" s="41"/>
      <c r="U126" s="362"/>
      <c r="V126" s="41"/>
    </row>
    <row r="127" spans="1:22" s="37" customFormat="1" ht="12" x14ac:dyDescent="0.2">
      <c r="A127" s="54"/>
      <c r="B127" s="54" t="s">
        <v>111</v>
      </c>
      <c r="C127" s="54"/>
      <c r="D127" s="55" t="s">
        <v>118</v>
      </c>
      <c r="E127" s="67">
        <v>0</v>
      </c>
      <c r="F127" s="67">
        <v>0</v>
      </c>
      <c r="G127" s="67">
        <v>0</v>
      </c>
      <c r="H127" s="67">
        <v>0</v>
      </c>
      <c r="I127" s="67">
        <v>0</v>
      </c>
      <c r="J127" s="67">
        <v>0</v>
      </c>
      <c r="K127" s="67">
        <v>0</v>
      </c>
      <c r="L127" s="67">
        <v>0</v>
      </c>
      <c r="M127" s="67">
        <v>0</v>
      </c>
      <c r="N127" s="67">
        <v>0</v>
      </c>
      <c r="O127" s="67">
        <v>0</v>
      </c>
      <c r="P127" s="67">
        <v>0</v>
      </c>
      <c r="Q127" s="67">
        <v>0</v>
      </c>
      <c r="R127" s="41"/>
      <c r="S127" s="337"/>
      <c r="T127" s="41"/>
      <c r="U127" s="362"/>
      <c r="V127" s="41"/>
    </row>
    <row r="128" spans="1:22" s="37" customFormat="1" ht="12" x14ac:dyDescent="0.2">
      <c r="A128" s="54"/>
      <c r="B128" s="54" t="s">
        <v>111</v>
      </c>
      <c r="C128" s="54"/>
      <c r="D128" s="55" t="s">
        <v>119</v>
      </c>
      <c r="E128" s="67">
        <v>0</v>
      </c>
      <c r="F128" s="67">
        <v>0</v>
      </c>
      <c r="G128" s="67">
        <v>0</v>
      </c>
      <c r="H128" s="67">
        <v>0</v>
      </c>
      <c r="I128" s="67">
        <v>0</v>
      </c>
      <c r="J128" s="67">
        <v>0</v>
      </c>
      <c r="K128" s="67">
        <v>0</v>
      </c>
      <c r="L128" s="67">
        <v>0</v>
      </c>
      <c r="M128" s="67">
        <v>0</v>
      </c>
      <c r="N128" s="67">
        <v>0</v>
      </c>
      <c r="O128" s="67">
        <v>0</v>
      </c>
      <c r="P128" s="67">
        <v>0</v>
      </c>
      <c r="Q128" s="67">
        <v>0</v>
      </c>
      <c r="R128" s="41"/>
      <c r="S128" s="337"/>
      <c r="T128" s="41"/>
      <c r="U128" s="362"/>
      <c r="V128" s="41"/>
    </row>
    <row r="129" spans="1:22" s="37" customFormat="1" ht="12" x14ac:dyDescent="0.2">
      <c r="A129" s="54"/>
      <c r="B129" s="54" t="s">
        <v>111</v>
      </c>
      <c r="C129" s="54"/>
      <c r="D129" s="55" t="s">
        <v>120</v>
      </c>
      <c r="E129" s="67">
        <v>0</v>
      </c>
      <c r="F129" s="67">
        <v>0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67">
        <v>0</v>
      </c>
      <c r="M129" s="67">
        <v>0</v>
      </c>
      <c r="N129" s="67">
        <v>0</v>
      </c>
      <c r="O129" s="67">
        <v>0</v>
      </c>
      <c r="P129" s="67">
        <v>0</v>
      </c>
      <c r="Q129" s="67">
        <v>0</v>
      </c>
      <c r="R129" s="41"/>
      <c r="S129" s="337"/>
      <c r="T129" s="41"/>
      <c r="U129" s="362"/>
      <c r="V129" s="41"/>
    </row>
    <row r="130" spans="1:22" s="37" customFormat="1" ht="12" x14ac:dyDescent="0.2">
      <c r="A130" s="54"/>
      <c r="B130" s="54" t="s">
        <v>111</v>
      </c>
      <c r="C130" s="54"/>
      <c r="D130" s="55" t="s">
        <v>121</v>
      </c>
      <c r="E130" s="67">
        <v>0</v>
      </c>
      <c r="F130" s="67">
        <v>0</v>
      </c>
      <c r="G130" s="67">
        <v>0</v>
      </c>
      <c r="H130" s="67">
        <v>0</v>
      </c>
      <c r="I130" s="67">
        <v>0</v>
      </c>
      <c r="J130" s="67">
        <v>0</v>
      </c>
      <c r="K130" s="67">
        <v>0</v>
      </c>
      <c r="L130" s="67">
        <v>0</v>
      </c>
      <c r="M130" s="67">
        <v>0</v>
      </c>
      <c r="N130" s="67">
        <v>0</v>
      </c>
      <c r="O130" s="67">
        <v>0</v>
      </c>
      <c r="P130" s="67">
        <v>0</v>
      </c>
      <c r="Q130" s="67">
        <v>0</v>
      </c>
      <c r="R130" s="41"/>
      <c r="S130" s="337"/>
      <c r="T130" s="41"/>
      <c r="U130" s="362"/>
      <c r="V130" s="41"/>
    </row>
    <row r="131" spans="1:22" s="37" customFormat="1" ht="12" x14ac:dyDescent="0.2">
      <c r="A131" s="54"/>
      <c r="B131" s="54" t="s">
        <v>111</v>
      </c>
      <c r="C131" s="54" t="s">
        <v>122</v>
      </c>
      <c r="D131" s="55"/>
      <c r="E131" s="67">
        <v>0</v>
      </c>
      <c r="F131" s="67">
        <v>0</v>
      </c>
      <c r="G131" s="67">
        <v>0</v>
      </c>
      <c r="H131" s="67">
        <v>0</v>
      </c>
      <c r="I131" s="67">
        <v>0</v>
      </c>
      <c r="J131" s="67">
        <v>0</v>
      </c>
      <c r="K131" s="67">
        <v>0</v>
      </c>
      <c r="L131" s="67">
        <v>0</v>
      </c>
      <c r="M131" s="67">
        <v>0</v>
      </c>
      <c r="N131" s="67">
        <v>0</v>
      </c>
      <c r="O131" s="67">
        <v>0</v>
      </c>
      <c r="P131" s="67">
        <v>0</v>
      </c>
      <c r="Q131" s="67">
        <v>0</v>
      </c>
      <c r="R131" s="41"/>
      <c r="S131" s="337"/>
      <c r="T131" s="41"/>
      <c r="U131" s="362"/>
      <c r="V131" s="41"/>
    </row>
    <row r="132" spans="1:22" s="37" customFormat="1" ht="12" x14ac:dyDescent="0.2">
      <c r="A132" s="54"/>
      <c r="B132" s="54" t="s">
        <v>111</v>
      </c>
      <c r="C132" s="54"/>
      <c r="D132" s="55" t="s">
        <v>123</v>
      </c>
      <c r="E132" s="67">
        <v>0</v>
      </c>
      <c r="F132" s="67">
        <v>0</v>
      </c>
      <c r="G132" s="67">
        <v>0</v>
      </c>
      <c r="H132" s="67">
        <v>0</v>
      </c>
      <c r="I132" s="67">
        <v>0</v>
      </c>
      <c r="J132" s="67">
        <v>0</v>
      </c>
      <c r="K132" s="67">
        <v>0</v>
      </c>
      <c r="L132" s="67">
        <v>0</v>
      </c>
      <c r="M132" s="67">
        <v>0</v>
      </c>
      <c r="N132" s="67">
        <v>0</v>
      </c>
      <c r="O132" s="67">
        <v>0</v>
      </c>
      <c r="P132" s="67">
        <v>0</v>
      </c>
      <c r="Q132" s="67">
        <v>0</v>
      </c>
      <c r="R132" s="41"/>
      <c r="S132" s="337"/>
      <c r="T132" s="41"/>
      <c r="U132" s="362"/>
      <c r="V132" s="41"/>
    </row>
    <row r="133" spans="1:22" s="37" customFormat="1" ht="12" x14ac:dyDescent="0.2">
      <c r="A133" s="54"/>
      <c r="B133" s="54"/>
      <c r="C133" s="54"/>
      <c r="D133" s="54" t="s">
        <v>124</v>
      </c>
      <c r="E133" s="67">
        <v>0</v>
      </c>
      <c r="F133" s="67">
        <v>0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67">
        <v>0</v>
      </c>
      <c r="M133" s="67">
        <v>0</v>
      </c>
      <c r="N133" s="67">
        <v>0</v>
      </c>
      <c r="O133" s="67">
        <v>0</v>
      </c>
      <c r="P133" s="67">
        <v>0</v>
      </c>
      <c r="Q133" s="67">
        <v>0</v>
      </c>
      <c r="R133" s="41"/>
      <c r="S133" s="337"/>
      <c r="T133" s="41"/>
      <c r="U133" s="362"/>
      <c r="V133" s="41"/>
    </row>
    <row r="134" spans="1:22" s="37" customFormat="1" ht="12" x14ac:dyDescent="0.2">
      <c r="A134" s="54"/>
      <c r="B134" s="54"/>
      <c r="C134" s="54" t="s">
        <v>125</v>
      </c>
      <c r="D134" s="54"/>
      <c r="E134" s="67">
        <v>0</v>
      </c>
      <c r="F134" s="67">
        <v>0</v>
      </c>
      <c r="G134" s="67">
        <v>0</v>
      </c>
      <c r="H134" s="67">
        <v>0</v>
      </c>
      <c r="I134" s="67">
        <v>0</v>
      </c>
      <c r="J134" s="67">
        <v>0</v>
      </c>
      <c r="K134" s="67">
        <v>0</v>
      </c>
      <c r="L134" s="67">
        <v>0</v>
      </c>
      <c r="M134" s="67">
        <v>0</v>
      </c>
      <c r="N134" s="67">
        <v>0</v>
      </c>
      <c r="O134" s="67">
        <v>0</v>
      </c>
      <c r="P134" s="67">
        <v>0</v>
      </c>
      <c r="Q134" s="67">
        <v>0</v>
      </c>
      <c r="R134" s="41"/>
      <c r="S134" s="337"/>
      <c r="T134" s="41"/>
      <c r="U134" s="362"/>
      <c r="V134" s="41"/>
    </row>
    <row r="135" spans="1:22" s="37" customFormat="1" ht="12" x14ac:dyDescent="0.2">
      <c r="A135" s="54"/>
      <c r="B135" s="54"/>
      <c r="C135" s="54"/>
      <c r="D135" s="54" t="s">
        <v>129</v>
      </c>
      <c r="E135" s="67">
        <v>0</v>
      </c>
      <c r="F135" s="67">
        <v>0</v>
      </c>
      <c r="G135" s="67">
        <v>0</v>
      </c>
      <c r="H135" s="67">
        <v>0</v>
      </c>
      <c r="I135" s="67">
        <v>0</v>
      </c>
      <c r="J135" s="67">
        <v>0</v>
      </c>
      <c r="K135" s="67">
        <v>0</v>
      </c>
      <c r="L135" s="67">
        <v>0</v>
      </c>
      <c r="M135" s="67">
        <v>0</v>
      </c>
      <c r="N135" s="67">
        <v>0</v>
      </c>
      <c r="O135" s="67">
        <v>0</v>
      </c>
      <c r="P135" s="67">
        <v>0</v>
      </c>
      <c r="Q135" s="67">
        <v>0</v>
      </c>
      <c r="R135" s="41"/>
      <c r="S135" s="337"/>
      <c r="T135" s="41"/>
      <c r="U135" s="362"/>
      <c r="V135" s="41"/>
    </row>
    <row r="136" spans="1:22" s="37" customFormat="1" ht="12" x14ac:dyDescent="0.2">
      <c r="A136" s="54"/>
      <c r="B136" s="54"/>
      <c r="C136" s="54"/>
      <c r="D136" s="54" t="s">
        <v>130</v>
      </c>
      <c r="E136" s="69">
        <v>0</v>
      </c>
      <c r="F136" s="69">
        <v>0</v>
      </c>
      <c r="G136" s="69">
        <v>0</v>
      </c>
      <c r="H136" s="69">
        <v>0</v>
      </c>
      <c r="I136" s="69">
        <v>0</v>
      </c>
      <c r="J136" s="69">
        <v>0</v>
      </c>
      <c r="K136" s="69">
        <v>0</v>
      </c>
      <c r="L136" s="69">
        <v>0</v>
      </c>
      <c r="M136" s="69">
        <v>0</v>
      </c>
      <c r="N136" s="69">
        <v>0</v>
      </c>
      <c r="O136" s="69">
        <v>0</v>
      </c>
      <c r="P136" s="69">
        <v>0</v>
      </c>
      <c r="Q136" s="69">
        <v>0</v>
      </c>
      <c r="R136" s="41"/>
      <c r="S136" s="337"/>
      <c r="T136" s="41"/>
      <c r="U136" s="362"/>
      <c r="V136" s="41"/>
    </row>
    <row r="137" spans="1:22" s="37" customFormat="1" ht="12" x14ac:dyDescent="0.2">
      <c r="A137" s="54"/>
      <c r="B137" s="54"/>
      <c r="C137" s="54"/>
      <c r="D137" s="54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39"/>
      <c r="R137" s="41"/>
      <c r="S137" s="337"/>
      <c r="T137" s="41"/>
      <c r="U137" s="362"/>
      <c r="V137" s="41"/>
    </row>
    <row r="138" spans="1:22" s="37" customFormat="1" ht="12" x14ac:dyDescent="0.2">
      <c r="A138" s="54"/>
      <c r="B138" s="54" t="s">
        <v>126</v>
      </c>
      <c r="C138" s="54"/>
      <c r="D138" s="54"/>
      <c r="E138" s="67">
        <f>SUM(E120:E136)</f>
        <v>14526.741417572921</v>
      </c>
      <c r="F138" s="67">
        <f>SUM(F120:F136)</f>
        <v>14526.741417572921</v>
      </c>
      <c r="G138" s="67">
        <f t="shared" ref="G138:P138" si="46">SUM(G120:G136)</f>
        <v>14526.741417572921</v>
      </c>
      <c r="H138" s="67">
        <f t="shared" si="46"/>
        <v>14526.741417572921</v>
      </c>
      <c r="I138" s="67">
        <f t="shared" si="46"/>
        <v>14526.741417572921</v>
      </c>
      <c r="J138" s="67">
        <f t="shared" si="46"/>
        <v>14526.741417572921</v>
      </c>
      <c r="K138" s="67">
        <f t="shared" si="46"/>
        <v>14526.741417572921</v>
      </c>
      <c r="L138" s="67">
        <f t="shared" si="46"/>
        <v>14526.741417572921</v>
      </c>
      <c r="M138" s="67">
        <f t="shared" si="46"/>
        <v>14526.741417572921</v>
      </c>
      <c r="N138" s="67">
        <f t="shared" si="46"/>
        <v>14526.741417572921</v>
      </c>
      <c r="O138" s="67">
        <f t="shared" si="46"/>
        <v>14526.741417572921</v>
      </c>
      <c r="P138" s="67">
        <f t="shared" si="46"/>
        <v>14526.741417572921</v>
      </c>
      <c r="Q138" s="39"/>
      <c r="R138" s="41"/>
      <c r="S138" s="337"/>
      <c r="T138" s="41"/>
      <c r="U138" s="362"/>
      <c r="V138" s="41"/>
    </row>
    <row r="139" spans="1:22" s="37" customFormat="1" ht="12" x14ac:dyDescent="0.2">
      <c r="A139" s="54"/>
      <c r="B139" s="54" t="s">
        <v>127</v>
      </c>
      <c r="C139" s="54"/>
      <c r="D139" s="54"/>
      <c r="E139" s="69">
        <f>'FY21'!E139</f>
        <v>0</v>
      </c>
      <c r="F139" s="69">
        <f>E141</f>
        <v>14526.741417572921</v>
      </c>
      <c r="G139" s="69">
        <f t="shared" ref="G139:P139" si="47">F141</f>
        <v>29053.482835145842</v>
      </c>
      <c r="H139" s="69">
        <f t="shared" si="47"/>
        <v>43580.224252718763</v>
      </c>
      <c r="I139" s="69">
        <f t="shared" si="47"/>
        <v>58106.965670291684</v>
      </c>
      <c r="J139" s="69">
        <f t="shared" si="47"/>
        <v>72633.707087864605</v>
      </c>
      <c r="K139" s="69">
        <f t="shared" si="47"/>
        <v>87160.448505437525</v>
      </c>
      <c r="L139" s="69">
        <f t="shared" si="47"/>
        <v>101687.18992301045</v>
      </c>
      <c r="M139" s="69">
        <f t="shared" si="47"/>
        <v>116213.93134058337</v>
      </c>
      <c r="N139" s="69">
        <f t="shared" si="47"/>
        <v>130740.67275815629</v>
      </c>
      <c r="O139" s="69">
        <f t="shared" si="47"/>
        <v>145267.41417572921</v>
      </c>
      <c r="P139" s="69">
        <f t="shared" si="47"/>
        <v>159794.15559330213</v>
      </c>
      <c r="Q139" s="39"/>
      <c r="R139" s="41"/>
      <c r="S139" s="337"/>
      <c r="T139" s="41"/>
      <c r="U139" s="362"/>
      <c r="V139" s="41"/>
    </row>
    <row r="140" spans="1:22" s="37" customFormat="1" ht="12" x14ac:dyDescent="0.2">
      <c r="A140" s="54"/>
      <c r="B140" s="54"/>
      <c r="C140" s="54"/>
      <c r="D140" s="54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39"/>
      <c r="R140" s="41"/>
      <c r="S140" s="337"/>
      <c r="T140" s="41"/>
      <c r="U140" s="362"/>
      <c r="V140" s="41"/>
    </row>
    <row r="141" spans="1:22" s="37" customFormat="1" ht="12.75" thickBot="1" x14ac:dyDescent="0.25">
      <c r="A141" s="53"/>
      <c r="B141" s="53" t="s">
        <v>128</v>
      </c>
      <c r="C141" s="53"/>
      <c r="D141" s="53"/>
      <c r="E141" s="195">
        <f t="shared" ref="E141:P141" si="48">SUM(E138:E140)</f>
        <v>14526.741417572921</v>
      </c>
      <c r="F141" s="195">
        <f t="shared" si="48"/>
        <v>29053.482835145842</v>
      </c>
      <c r="G141" s="195">
        <f t="shared" si="48"/>
        <v>43580.224252718763</v>
      </c>
      <c r="H141" s="195">
        <f t="shared" si="48"/>
        <v>58106.965670291684</v>
      </c>
      <c r="I141" s="195">
        <f t="shared" si="48"/>
        <v>72633.707087864605</v>
      </c>
      <c r="J141" s="195">
        <f t="shared" si="48"/>
        <v>87160.448505437525</v>
      </c>
      <c r="K141" s="195">
        <f t="shared" si="48"/>
        <v>101687.18992301045</v>
      </c>
      <c r="L141" s="195">
        <f t="shared" si="48"/>
        <v>116213.93134058337</v>
      </c>
      <c r="M141" s="195">
        <f t="shared" si="48"/>
        <v>130740.67275815629</v>
      </c>
      <c r="N141" s="195">
        <f t="shared" si="48"/>
        <v>145267.41417572921</v>
      </c>
      <c r="O141" s="195">
        <f t="shared" si="48"/>
        <v>159794.15559330213</v>
      </c>
      <c r="P141" s="195">
        <f t="shared" si="48"/>
        <v>174320.89701087505</v>
      </c>
      <c r="Q141" s="39"/>
      <c r="R141" s="41"/>
      <c r="S141" s="337"/>
      <c r="T141" s="41"/>
      <c r="U141" s="362"/>
      <c r="V141" s="41"/>
    </row>
    <row r="142" spans="1:22" s="37" customFormat="1" ht="12.75" thickTop="1" x14ac:dyDescent="0.2">
      <c r="C142" s="38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41"/>
      <c r="S142" s="337"/>
      <c r="T142" s="41"/>
      <c r="U142" s="362"/>
      <c r="V142" s="41"/>
    </row>
    <row r="143" spans="1:22" s="37" customFormat="1" ht="12.75" thickBot="1" x14ac:dyDescent="0.25">
      <c r="C143" s="38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41"/>
      <c r="S143" s="337"/>
      <c r="T143" s="41"/>
      <c r="U143" s="362"/>
      <c r="V143" s="41"/>
    </row>
    <row r="144" spans="1:22" s="37" customFormat="1" ht="12.75" thickBot="1" x14ac:dyDescent="0.25">
      <c r="C144" s="38"/>
      <c r="E144" s="729" t="s">
        <v>168</v>
      </c>
      <c r="F144" s="730"/>
      <c r="G144" s="730"/>
      <c r="H144" s="730"/>
      <c r="I144" s="730"/>
      <c r="J144" s="730"/>
      <c r="K144" s="730"/>
      <c r="L144" s="730"/>
      <c r="M144" s="730"/>
      <c r="N144" s="730"/>
      <c r="O144" s="730"/>
      <c r="P144" s="731"/>
      <c r="Q144" s="39"/>
      <c r="R144" s="41"/>
      <c r="S144" s="337"/>
      <c r="T144" s="41"/>
      <c r="U144" s="362"/>
      <c r="V144" s="41"/>
    </row>
    <row r="145" spans="3:22" s="37" customFormat="1" ht="12" x14ac:dyDescent="0.2">
      <c r="C145" s="38"/>
      <c r="E145" s="177" t="s">
        <v>156</v>
      </c>
      <c r="F145" s="177" t="s">
        <v>157</v>
      </c>
      <c r="G145" s="177" t="s">
        <v>158</v>
      </c>
      <c r="H145" s="177" t="s">
        <v>159</v>
      </c>
      <c r="I145" s="177" t="s">
        <v>160</v>
      </c>
      <c r="J145" s="177" t="s">
        <v>161</v>
      </c>
      <c r="K145" s="177" t="s">
        <v>162</v>
      </c>
      <c r="L145" s="177" t="s">
        <v>163</v>
      </c>
      <c r="M145" s="177" t="s">
        <v>164</v>
      </c>
      <c r="N145" s="177" t="s">
        <v>165</v>
      </c>
      <c r="O145" s="177" t="s">
        <v>166</v>
      </c>
      <c r="P145" s="177" t="s">
        <v>167</v>
      </c>
      <c r="Q145" s="39"/>
      <c r="R145" s="41"/>
      <c r="S145" s="337"/>
      <c r="T145" s="41"/>
      <c r="U145" s="362"/>
      <c r="V145" s="41"/>
    </row>
    <row r="146" spans="3:22" s="37" customFormat="1" ht="12" hidden="1" customHeight="1" x14ac:dyDescent="0.2">
      <c r="C146" s="38"/>
      <c r="D146" s="201" t="s">
        <v>63</v>
      </c>
      <c r="E146" s="178">
        <f>'Rev &amp; Enroll'!Q10</f>
        <v>0</v>
      </c>
      <c r="F146" s="178">
        <f>'Rev &amp; Enroll'!R10</f>
        <v>0</v>
      </c>
      <c r="G146" s="178">
        <f>'Rev &amp; Enroll'!S10</f>
        <v>0</v>
      </c>
      <c r="H146" s="178">
        <f>'Rev &amp; Enroll'!T10</f>
        <v>0</v>
      </c>
      <c r="I146" s="178">
        <f>'Rev &amp; Enroll'!U10</f>
        <v>0</v>
      </c>
      <c r="J146" s="178">
        <f>'Rev &amp; Enroll'!V10</f>
        <v>0</v>
      </c>
      <c r="K146" s="178">
        <f>'Rev &amp; Enroll'!W10</f>
        <v>0</v>
      </c>
      <c r="L146" s="178">
        <f>'Rev &amp; Enroll'!X10</f>
        <v>0</v>
      </c>
      <c r="M146" s="178">
        <f>'Rev &amp; Enroll'!Y10</f>
        <v>0</v>
      </c>
      <c r="N146" s="178">
        <f>'Rev &amp; Enroll'!Z10</f>
        <v>0</v>
      </c>
      <c r="O146" s="178">
        <f>'Rev &amp; Enroll'!AA10</f>
        <v>0</v>
      </c>
      <c r="P146" s="178">
        <f>'Rev &amp; Enroll'!AB10</f>
        <v>0</v>
      </c>
      <c r="Q146" s="39"/>
      <c r="R146" s="41"/>
      <c r="S146" s="337"/>
      <c r="T146" s="41"/>
      <c r="U146" s="362"/>
      <c r="V146" s="41"/>
    </row>
    <row r="147" spans="3:22" s="37" customFormat="1" ht="12" hidden="1" customHeight="1" x14ac:dyDescent="0.2">
      <c r="C147" s="38"/>
      <c r="D147" s="201" t="s">
        <v>64</v>
      </c>
      <c r="E147" s="178">
        <f>'Rev &amp; Enroll'!Q11</f>
        <v>0</v>
      </c>
      <c r="F147" s="178">
        <f>'Rev &amp; Enroll'!R11</f>
        <v>0</v>
      </c>
      <c r="G147" s="178">
        <f>'Rev &amp; Enroll'!S11</f>
        <v>0</v>
      </c>
      <c r="H147" s="178">
        <f>'Rev &amp; Enroll'!T11</f>
        <v>0</v>
      </c>
      <c r="I147" s="178">
        <f>'Rev &amp; Enroll'!U11</f>
        <v>0</v>
      </c>
      <c r="J147" s="178">
        <f>'Rev &amp; Enroll'!V11</f>
        <v>0</v>
      </c>
      <c r="K147" s="178">
        <f>'Rev &amp; Enroll'!W11</f>
        <v>0</v>
      </c>
      <c r="L147" s="178">
        <f>'Rev &amp; Enroll'!X11</f>
        <v>0</v>
      </c>
      <c r="M147" s="178">
        <f>'Rev &amp; Enroll'!Y11</f>
        <v>0</v>
      </c>
      <c r="N147" s="178">
        <f>'Rev &amp; Enroll'!Z11</f>
        <v>0</v>
      </c>
      <c r="O147" s="178">
        <f>'Rev &amp; Enroll'!AA11</f>
        <v>0</v>
      </c>
      <c r="P147" s="178">
        <f>'Rev &amp; Enroll'!AB11</f>
        <v>0</v>
      </c>
      <c r="Q147" s="39"/>
      <c r="R147" s="41"/>
      <c r="S147" s="337"/>
      <c r="T147" s="41"/>
      <c r="U147" s="362"/>
      <c r="V147" s="41"/>
    </row>
    <row r="148" spans="3:22" s="37" customFormat="1" ht="12" hidden="1" customHeight="1" x14ac:dyDescent="0.2">
      <c r="C148" s="38"/>
      <c r="D148" s="201">
        <v>1</v>
      </c>
      <c r="E148" s="178">
        <f>'Rev &amp; Enroll'!Q12</f>
        <v>0</v>
      </c>
      <c r="F148" s="178">
        <f>'Rev &amp; Enroll'!R12</f>
        <v>0</v>
      </c>
      <c r="G148" s="178">
        <f>'Rev &amp; Enroll'!S12</f>
        <v>0</v>
      </c>
      <c r="H148" s="178">
        <f>'Rev &amp; Enroll'!T12</f>
        <v>0</v>
      </c>
      <c r="I148" s="178">
        <f>'Rev &amp; Enroll'!U12</f>
        <v>0</v>
      </c>
      <c r="J148" s="178">
        <f>'Rev &amp; Enroll'!V12</f>
        <v>0</v>
      </c>
      <c r="K148" s="178">
        <f>'Rev &amp; Enroll'!W12</f>
        <v>0</v>
      </c>
      <c r="L148" s="178">
        <f>'Rev &amp; Enroll'!X12</f>
        <v>0</v>
      </c>
      <c r="M148" s="178">
        <f>'Rev &amp; Enroll'!Y12</f>
        <v>0</v>
      </c>
      <c r="N148" s="178">
        <f>'Rev &amp; Enroll'!Z12</f>
        <v>0</v>
      </c>
      <c r="O148" s="178">
        <f>'Rev &amp; Enroll'!AA12</f>
        <v>0</v>
      </c>
      <c r="P148" s="178">
        <f>'Rev &amp; Enroll'!AB12</f>
        <v>0</v>
      </c>
      <c r="Q148" s="39"/>
      <c r="R148" s="41"/>
      <c r="S148" s="337"/>
      <c r="T148" s="41"/>
      <c r="U148" s="362"/>
      <c r="V148" s="41"/>
    </row>
    <row r="149" spans="3:22" s="37" customFormat="1" ht="12" hidden="1" customHeight="1" x14ac:dyDescent="0.2">
      <c r="C149" s="38"/>
      <c r="D149" s="201">
        <v>2</v>
      </c>
      <c r="E149" s="178">
        <f>'Rev &amp; Enroll'!Q13</f>
        <v>0</v>
      </c>
      <c r="F149" s="178">
        <f>'Rev &amp; Enroll'!R13</f>
        <v>0</v>
      </c>
      <c r="G149" s="178">
        <f>'Rev &amp; Enroll'!S13</f>
        <v>0</v>
      </c>
      <c r="H149" s="178">
        <f>'Rev &amp; Enroll'!T13</f>
        <v>0</v>
      </c>
      <c r="I149" s="178">
        <f>'Rev &amp; Enroll'!U13</f>
        <v>0</v>
      </c>
      <c r="J149" s="178">
        <f>'Rev &amp; Enroll'!V13</f>
        <v>0</v>
      </c>
      <c r="K149" s="178">
        <f>'Rev &amp; Enroll'!W13</f>
        <v>0</v>
      </c>
      <c r="L149" s="178">
        <f>'Rev &amp; Enroll'!X13</f>
        <v>0</v>
      </c>
      <c r="M149" s="178">
        <f>'Rev &amp; Enroll'!Y13</f>
        <v>0</v>
      </c>
      <c r="N149" s="178">
        <f>'Rev &amp; Enroll'!Z13</f>
        <v>0</v>
      </c>
      <c r="O149" s="178">
        <f>'Rev &amp; Enroll'!AA13</f>
        <v>0</v>
      </c>
      <c r="P149" s="178">
        <f>'Rev &amp; Enroll'!AB13</f>
        <v>0</v>
      </c>
      <c r="Q149" s="39"/>
      <c r="R149" s="41"/>
      <c r="S149" s="337"/>
      <c r="T149" s="41"/>
      <c r="U149" s="362"/>
      <c r="V149" s="41"/>
    </row>
    <row r="150" spans="3:22" s="37" customFormat="1" ht="12" hidden="1" customHeight="1" x14ac:dyDescent="0.2">
      <c r="C150" s="38"/>
      <c r="D150" s="201">
        <v>3</v>
      </c>
      <c r="E150" s="178">
        <f>'Rev &amp; Enroll'!Q14</f>
        <v>0</v>
      </c>
      <c r="F150" s="178">
        <f>'Rev &amp; Enroll'!R14</f>
        <v>0</v>
      </c>
      <c r="G150" s="178">
        <f>'Rev &amp; Enroll'!S14</f>
        <v>0</v>
      </c>
      <c r="H150" s="178">
        <f>'Rev &amp; Enroll'!T14</f>
        <v>0</v>
      </c>
      <c r="I150" s="178">
        <f>'Rev &amp; Enroll'!U14</f>
        <v>0</v>
      </c>
      <c r="J150" s="178">
        <f>'Rev &amp; Enroll'!V14</f>
        <v>0</v>
      </c>
      <c r="K150" s="178">
        <f>'Rev &amp; Enroll'!W14</f>
        <v>0</v>
      </c>
      <c r="L150" s="178">
        <f>'Rev &amp; Enroll'!X14</f>
        <v>0</v>
      </c>
      <c r="M150" s="178">
        <f>'Rev &amp; Enroll'!Y14</f>
        <v>0</v>
      </c>
      <c r="N150" s="178">
        <f>'Rev &amp; Enroll'!Z14</f>
        <v>0</v>
      </c>
      <c r="O150" s="178">
        <f>'Rev &amp; Enroll'!AA14</f>
        <v>0</v>
      </c>
      <c r="P150" s="178">
        <f>'Rev &amp; Enroll'!AB14</f>
        <v>0</v>
      </c>
      <c r="Q150" s="39"/>
      <c r="R150" s="41"/>
      <c r="S150" s="337"/>
      <c r="T150" s="41"/>
      <c r="U150" s="362"/>
      <c r="V150" s="41"/>
    </row>
    <row r="151" spans="3:22" s="37" customFormat="1" ht="12" hidden="1" customHeight="1" x14ac:dyDescent="0.2">
      <c r="C151" s="38"/>
      <c r="D151" s="201">
        <v>4</v>
      </c>
      <c r="E151" s="178">
        <f>'Rev &amp; Enroll'!Q15</f>
        <v>0</v>
      </c>
      <c r="F151" s="178">
        <f>'Rev &amp; Enroll'!R15</f>
        <v>0</v>
      </c>
      <c r="G151" s="178">
        <f>'Rev &amp; Enroll'!S15</f>
        <v>0</v>
      </c>
      <c r="H151" s="178">
        <f>'Rev &amp; Enroll'!T15</f>
        <v>0</v>
      </c>
      <c r="I151" s="178">
        <f>'Rev &amp; Enroll'!U15</f>
        <v>0</v>
      </c>
      <c r="J151" s="178">
        <f>'Rev &amp; Enroll'!V15</f>
        <v>0</v>
      </c>
      <c r="K151" s="178">
        <f>'Rev &amp; Enroll'!W15</f>
        <v>0</v>
      </c>
      <c r="L151" s="178">
        <f>'Rev &amp; Enroll'!X15</f>
        <v>0</v>
      </c>
      <c r="M151" s="178">
        <f>'Rev &amp; Enroll'!Y15</f>
        <v>0</v>
      </c>
      <c r="N151" s="178">
        <f>'Rev &amp; Enroll'!Z15</f>
        <v>0</v>
      </c>
      <c r="O151" s="178">
        <f>'Rev &amp; Enroll'!AA15</f>
        <v>0</v>
      </c>
      <c r="P151" s="178">
        <f>'Rev &amp; Enroll'!AB15</f>
        <v>0</v>
      </c>
      <c r="Q151" s="39"/>
      <c r="R151" s="41"/>
      <c r="S151" s="337"/>
      <c r="T151" s="41"/>
      <c r="U151" s="362"/>
      <c r="V151" s="41"/>
    </row>
    <row r="152" spans="3:22" s="37" customFormat="1" ht="12" hidden="1" customHeight="1" x14ac:dyDescent="0.2">
      <c r="C152" s="38"/>
      <c r="D152" s="201">
        <v>5</v>
      </c>
      <c r="E152" s="178">
        <f>'Rev &amp; Enroll'!Q16</f>
        <v>0</v>
      </c>
      <c r="F152" s="178">
        <f>'Rev &amp; Enroll'!R16</f>
        <v>0</v>
      </c>
      <c r="G152" s="178">
        <f>'Rev &amp; Enroll'!S16</f>
        <v>0</v>
      </c>
      <c r="H152" s="178">
        <f>'Rev &amp; Enroll'!T16</f>
        <v>0</v>
      </c>
      <c r="I152" s="178">
        <f>'Rev &amp; Enroll'!U16</f>
        <v>0</v>
      </c>
      <c r="J152" s="178">
        <f>'Rev &amp; Enroll'!V16</f>
        <v>0</v>
      </c>
      <c r="K152" s="178">
        <f>'Rev &amp; Enroll'!W16</f>
        <v>0</v>
      </c>
      <c r="L152" s="178">
        <f>'Rev &amp; Enroll'!X16</f>
        <v>0</v>
      </c>
      <c r="M152" s="178">
        <f>'Rev &amp; Enroll'!Y16</f>
        <v>0</v>
      </c>
      <c r="N152" s="178">
        <f>'Rev &amp; Enroll'!Z16</f>
        <v>0</v>
      </c>
      <c r="O152" s="178">
        <f>'Rev &amp; Enroll'!AA16</f>
        <v>0</v>
      </c>
      <c r="P152" s="178">
        <f>'Rev &amp; Enroll'!AB16</f>
        <v>0</v>
      </c>
      <c r="Q152" s="39"/>
      <c r="R152" s="41"/>
      <c r="S152" s="337"/>
      <c r="T152" s="41"/>
      <c r="U152" s="362"/>
      <c r="V152" s="41"/>
    </row>
    <row r="153" spans="3:22" s="37" customFormat="1" ht="12" hidden="1" customHeight="1" x14ac:dyDescent="0.2">
      <c r="C153" s="38"/>
      <c r="D153" s="201">
        <v>6</v>
      </c>
      <c r="E153" s="178">
        <f>'Rev &amp; Enroll'!Q17</f>
        <v>0</v>
      </c>
      <c r="F153" s="178">
        <f>'Rev &amp; Enroll'!R17</f>
        <v>0</v>
      </c>
      <c r="G153" s="178">
        <f>'Rev &amp; Enroll'!S17</f>
        <v>0</v>
      </c>
      <c r="H153" s="178">
        <f>'Rev &amp; Enroll'!T17</f>
        <v>0</v>
      </c>
      <c r="I153" s="178">
        <f>'Rev &amp; Enroll'!U17</f>
        <v>0</v>
      </c>
      <c r="J153" s="178">
        <f>'Rev &amp; Enroll'!V17</f>
        <v>0</v>
      </c>
      <c r="K153" s="178">
        <f>'Rev &amp; Enroll'!W17</f>
        <v>0</v>
      </c>
      <c r="L153" s="178">
        <f>'Rev &amp; Enroll'!X17</f>
        <v>0</v>
      </c>
      <c r="M153" s="178">
        <f>'Rev &amp; Enroll'!Y17</f>
        <v>0</v>
      </c>
      <c r="N153" s="178">
        <f>'Rev &amp; Enroll'!Z17</f>
        <v>0</v>
      </c>
      <c r="O153" s="178">
        <f>'Rev &amp; Enroll'!AA17</f>
        <v>0</v>
      </c>
      <c r="P153" s="178">
        <f>'Rev &amp; Enroll'!AB17</f>
        <v>0</v>
      </c>
      <c r="Q153" s="39"/>
      <c r="R153" s="41"/>
      <c r="S153" s="337"/>
      <c r="T153" s="41"/>
      <c r="U153" s="362"/>
      <c r="V153" s="41"/>
    </row>
    <row r="154" spans="3:22" s="37" customFormat="1" ht="12" hidden="1" customHeight="1" x14ac:dyDescent="0.2">
      <c r="C154" s="38"/>
      <c r="D154" s="201">
        <v>7</v>
      </c>
      <c r="E154" s="178">
        <f>'Rev &amp; Enroll'!Q18</f>
        <v>0</v>
      </c>
      <c r="F154" s="178">
        <f>'Rev &amp; Enroll'!R18</f>
        <v>0</v>
      </c>
      <c r="G154" s="178">
        <f>'Rev &amp; Enroll'!S18</f>
        <v>0</v>
      </c>
      <c r="H154" s="178">
        <f>'Rev &amp; Enroll'!T18</f>
        <v>0</v>
      </c>
      <c r="I154" s="178">
        <f>'Rev &amp; Enroll'!U18</f>
        <v>0</v>
      </c>
      <c r="J154" s="178">
        <f>'Rev &amp; Enroll'!V18</f>
        <v>0</v>
      </c>
      <c r="K154" s="178">
        <f>'Rev &amp; Enroll'!W18</f>
        <v>0</v>
      </c>
      <c r="L154" s="178">
        <f>'Rev &amp; Enroll'!X18</f>
        <v>0</v>
      </c>
      <c r="M154" s="178">
        <f>'Rev &amp; Enroll'!Y18</f>
        <v>0</v>
      </c>
      <c r="N154" s="178">
        <f>'Rev &amp; Enroll'!Z18</f>
        <v>0</v>
      </c>
      <c r="O154" s="178">
        <f>'Rev &amp; Enroll'!AA18</f>
        <v>0</v>
      </c>
      <c r="P154" s="178">
        <f>'Rev &amp; Enroll'!AB18</f>
        <v>0</v>
      </c>
      <c r="Q154" s="39"/>
      <c r="R154" s="41"/>
      <c r="S154" s="337"/>
      <c r="T154" s="41"/>
      <c r="U154" s="362"/>
      <c r="V154" s="41"/>
    </row>
    <row r="155" spans="3:22" s="37" customFormat="1" ht="12" hidden="1" customHeight="1" x14ac:dyDescent="0.2">
      <c r="C155" s="38"/>
      <c r="D155" s="201">
        <v>8</v>
      </c>
      <c r="E155" s="178">
        <f>'Rev &amp; Enroll'!Q19</f>
        <v>0</v>
      </c>
      <c r="F155" s="178">
        <f>'Rev &amp; Enroll'!R19</f>
        <v>0</v>
      </c>
      <c r="G155" s="178">
        <f>'Rev &amp; Enroll'!S19</f>
        <v>0</v>
      </c>
      <c r="H155" s="178">
        <f>'Rev &amp; Enroll'!T19</f>
        <v>0</v>
      </c>
      <c r="I155" s="178">
        <f>'Rev &amp; Enroll'!U19</f>
        <v>0</v>
      </c>
      <c r="J155" s="178">
        <f>'Rev &amp; Enroll'!V19</f>
        <v>0</v>
      </c>
      <c r="K155" s="178">
        <f>'Rev &amp; Enroll'!W19</f>
        <v>0</v>
      </c>
      <c r="L155" s="178">
        <f>'Rev &amp; Enroll'!X19</f>
        <v>0</v>
      </c>
      <c r="M155" s="178">
        <f>'Rev &amp; Enroll'!Y19</f>
        <v>0</v>
      </c>
      <c r="N155" s="178">
        <f>'Rev &amp; Enroll'!Z19</f>
        <v>0</v>
      </c>
      <c r="O155" s="178">
        <f>'Rev &amp; Enroll'!AA19</f>
        <v>0</v>
      </c>
      <c r="P155" s="178">
        <f>'Rev &amp; Enroll'!AB19</f>
        <v>0</v>
      </c>
      <c r="Q155" s="39"/>
      <c r="R155" s="41"/>
      <c r="S155" s="337"/>
      <c r="T155" s="41"/>
      <c r="U155" s="362"/>
      <c r="V155" s="41"/>
    </row>
    <row r="156" spans="3:22" s="37" customFormat="1" ht="12" hidden="1" customHeight="1" x14ac:dyDescent="0.2">
      <c r="C156" s="38"/>
      <c r="D156" s="201">
        <v>9</v>
      </c>
      <c r="E156" s="178">
        <f>'Rev &amp; Enroll'!Q20</f>
        <v>0</v>
      </c>
      <c r="F156" s="178">
        <f>'Rev &amp; Enroll'!R20</f>
        <v>0</v>
      </c>
      <c r="G156" s="178">
        <f>'Rev &amp; Enroll'!S20</f>
        <v>0</v>
      </c>
      <c r="H156" s="178">
        <f>'Rev &amp; Enroll'!T20</f>
        <v>0</v>
      </c>
      <c r="I156" s="178">
        <f>'Rev &amp; Enroll'!U20</f>
        <v>0</v>
      </c>
      <c r="J156" s="178">
        <f>'Rev &amp; Enroll'!V20</f>
        <v>0</v>
      </c>
      <c r="K156" s="178">
        <f>'Rev &amp; Enroll'!W20</f>
        <v>0</v>
      </c>
      <c r="L156" s="178">
        <f>'Rev &amp; Enroll'!X20</f>
        <v>0</v>
      </c>
      <c r="M156" s="178">
        <f>'Rev &amp; Enroll'!Y20</f>
        <v>0</v>
      </c>
      <c r="N156" s="178">
        <f>'Rev &amp; Enroll'!Z20</f>
        <v>0</v>
      </c>
      <c r="O156" s="178">
        <f>'Rev &amp; Enroll'!AA20</f>
        <v>0</v>
      </c>
      <c r="P156" s="178">
        <f>'Rev &amp; Enroll'!AB20</f>
        <v>0</v>
      </c>
      <c r="Q156" s="39"/>
      <c r="R156" s="41"/>
      <c r="S156" s="337"/>
      <c r="T156" s="41"/>
      <c r="U156" s="362"/>
      <c r="V156" s="41"/>
    </row>
    <row r="157" spans="3:22" s="37" customFormat="1" ht="12" hidden="1" customHeight="1" x14ac:dyDescent="0.2">
      <c r="C157" s="38"/>
      <c r="D157" s="201">
        <v>10</v>
      </c>
      <c r="E157" s="178">
        <f>'Rev &amp; Enroll'!Q21</f>
        <v>0</v>
      </c>
      <c r="F157" s="178">
        <f>'Rev &amp; Enroll'!R21</f>
        <v>0</v>
      </c>
      <c r="G157" s="178">
        <f>'Rev &amp; Enroll'!S21</f>
        <v>0</v>
      </c>
      <c r="H157" s="178">
        <f>'Rev &amp; Enroll'!T21</f>
        <v>0</v>
      </c>
      <c r="I157" s="178">
        <f>'Rev &amp; Enroll'!U21</f>
        <v>0</v>
      </c>
      <c r="J157" s="178">
        <f>'Rev &amp; Enroll'!V21</f>
        <v>0</v>
      </c>
      <c r="K157" s="178">
        <f>'Rev &amp; Enroll'!W21</f>
        <v>0</v>
      </c>
      <c r="L157" s="178">
        <f>'Rev &amp; Enroll'!X21</f>
        <v>0</v>
      </c>
      <c r="M157" s="178">
        <f>'Rev &amp; Enroll'!Y21</f>
        <v>0</v>
      </c>
      <c r="N157" s="178">
        <f>'Rev &amp; Enroll'!Z21</f>
        <v>0</v>
      </c>
      <c r="O157" s="178">
        <f>'Rev &amp; Enroll'!AA21</f>
        <v>0</v>
      </c>
      <c r="P157" s="178">
        <f>'Rev &amp; Enroll'!AB21</f>
        <v>0</v>
      </c>
      <c r="Q157" s="39"/>
      <c r="R157" s="41"/>
      <c r="S157" s="337"/>
      <c r="T157" s="41"/>
      <c r="U157" s="362"/>
      <c r="V157" s="41"/>
    </row>
    <row r="158" spans="3:22" s="37" customFormat="1" ht="12" x14ac:dyDescent="0.2">
      <c r="C158" s="38"/>
      <c r="D158" s="201">
        <v>11</v>
      </c>
      <c r="E158" s="178">
        <v>358</v>
      </c>
      <c r="F158" s="178">
        <v>358</v>
      </c>
      <c r="G158" s="178">
        <v>358</v>
      </c>
      <c r="H158" s="178">
        <v>358</v>
      </c>
      <c r="I158" s="178">
        <v>358</v>
      </c>
      <c r="J158" s="178">
        <v>358</v>
      </c>
      <c r="K158" s="178">
        <v>358</v>
      </c>
      <c r="L158" s="178">
        <v>358</v>
      </c>
      <c r="M158" s="178">
        <v>358</v>
      </c>
      <c r="N158" s="178">
        <v>358</v>
      </c>
      <c r="O158" s="178">
        <v>358</v>
      </c>
      <c r="P158" s="178">
        <v>358</v>
      </c>
      <c r="Q158" s="39"/>
      <c r="R158" s="41"/>
      <c r="S158" s="337"/>
      <c r="T158" s="41"/>
      <c r="U158" s="362"/>
      <c r="V158" s="41"/>
    </row>
    <row r="159" spans="3:22" s="37" customFormat="1" ht="12" x14ac:dyDescent="0.2">
      <c r="C159" s="38"/>
      <c r="D159" s="201">
        <v>12</v>
      </c>
      <c r="E159" s="178">
        <v>377</v>
      </c>
      <c r="F159" s="178">
        <v>377</v>
      </c>
      <c r="G159" s="178">
        <v>377</v>
      </c>
      <c r="H159" s="178">
        <v>377</v>
      </c>
      <c r="I159" s="178">
        <v>377</v>
      </c>
      <c r="J159" s="178">
        <v>377</v>
      </c>
      <c r="K159" s="178">
        <v>377</v>
      </c>
      <c r="L159" s="178">
        <v>377</v>
      </c>
      <c r="M159" s="178">
        <v>377</v>
      </c>
      <c r="N159" s="178">
        <v>377</v>
      </c>
      <c r="O159" s="178">
        <v>377</v>
      </c>
      <c r="P159" s="178">
        <v>377</v>
      </c>
      <c r="Q159" s="200" t="s">
        <v>183</v>
      </c>
      <c r="R159" s="41"/>
      <c r="S159" s="337"/>
      <c r="T159" s="41"/>
      <c r="U159" s="362"/>
      <c r="V159" s="41"/>
    </row>
    <row r="160" spans="3:22" s="37" customFormat="1" ht="12" x14ac:dyDescent="0.2">
      <c r="C160" s="38"/>
      <c r="D160" s="202" t="s">
        <v>66</v>
      </c>
      <c r="E160" s="179">
        <f>SUM(E146:E159)+55+80</f>
        <v>870</v>
      </c>
      <c r="F160" s="179">
        <f t="shared" ref="F160:P160" si="49">SUM(F146:F159)+55+80</f>
        <v>870</v>
      </c>
      <c r="G160" s="179">
        <f t="shared" si="49"/>
        <v>870</v>
      </c>
      <c r="H160" s="179">
        <f t="shared" si="49"/>
        <v>870</v>
      </c>
      <c r="I160" s="179">
        <f t="shared" si="49"/>
        <v>870</v>
      </c>
      <c r="J160" s="179">
        <f t="shared" si="49"/>
        <v>870</v>
      </c>
      <c r="K160" s="179">
        <f t="shared" si="49"/>
        <v>870</v>
      </c>
      <c r="L160" s="179">
        <f t="shared" si="49"/>
        <v>870</v>
      </c>
      <c r="M160" s="179">
        <f t="shared" si="49"/>
        <v>870</v>
      </c>
      <c r="N160" s="179">
        <f t="shared" si="49"/>
        <v>870</v>
      </c>
      <c r="O160" s="179">
        <f t="shared" si="49"/>
        <v>870</v>
      </c>
      <c r="P160" s="179">
        <f t="shared" si="49"/>
        <v>870</v>
      </c>
      <c r="Q160" s="200">
        <f>AVERAGE(E160:P160)</f>
        <v>870</v>
      </c>
      <c r="R160" s="41"/>
      <c r="S160" s="337"/>
      <c r="T160" s="41"/>
      <c r="U160" s="362"/>
      <c r="V160" s="41"/>
    </row>
    <row r="161" spans="3:22" s="37" customFormat="1" ht="12" x14ac:dyDescent="0.2">
      <c r="C161" s="38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41"/>
      <c r="S161" s="337"/>
      <c r="T161" s="41"/>
      <c r="U161" s="362"/>
      <c r="V161" s="41"/>
    </row>
    <row r="162" spans="3:22" s="37" customFormat="1" ht="12" x14ac:dyDescent="0.2">
      <c r="C162" s="38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41"/>
      <c r="S162" s="337"/>
      <c r="T162" s="41"/>
      <c r="U162" s="362"/>
      <c r="V162" s="41"/>
    </row>
    <row r="163" spans="3:22" s="37" customFormat="1" ht="12" x14ac:dyDescent="0.2">
      <c r="C163" s="38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41"/>
      <c r="S163" s="337"/>
      <c r="T163" s="41"/>
      <c r="U163" s="362"/>
      <c r="V163" s="41"/>
    </row>
    <row r="164" spans="3:22" s="37" customFormat="1" ht="12" x14ac:dyDescent="0.2">
      <c r="C164" s="38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41"/>
      <c r="S164" s="337"/>
      <c r="T164" s="41"/>
      <c r="U164" s="362"/>
      <c r="V164" s="41"/>
    </row>
    <row r="165" spans="3:22" s="37" customFormat="1" ht="12" x14ac:dyDescent="0.2">
      <c r="C165" s="38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41"/>
      <c r="S165" s="337"/>
      <c r="T165" s="41"/>
      <c r="U165" s="362"/>
      <c r="V165" s="41"/>
    </row>
    <row r="166" spans="3:22" s="37" customFormat="1" ht="12" x14ac:dyDescent="0.2">
      <c r="C166" s="38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41"/>
      <c r="S166" s="337"/>
      <c r="T166" s="41"/>
      <c r="U166" s="362"/>
      <c r="V166" s="41"/>
    </row>
    <row r="167" spans="3:22" s="37" customFormat="1" ht="12" x14ac:dyDescent="0.2">
      <c r="C167" s="38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41"/>
      <c r="S167" s="337"/>
      <c r="T167" s="41"/>
      <c r="U167" s="362"/>
      <c r="V167" s="41"/>
    </row>
    <row r="168" spans="3:22" s="37" customFormat="1" ht="12" x14ac:dyDescent="0.2">
      <c r="C168" s="38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41"/>
      <c r="S168" s="337"/>
      <c r="T168" s="41"/>
      <c r="U168" s="362"/>
      <c r="V168" s="41"/>
    </row>
    <row r="169" spans="3:22" s="37" customFormat="1" ht="12" x14ac:dyDescent="0.2">
      <c r="C169" s="38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41"/>
      <c r="S169" s="337"/>
      <c r="T169" s="41"/>
      <c r="U169" s="362"/>
      <c r="V169" s="41"/>
    </row>
    <row r="170" spans="3:22" s="37" customFormat="1" ht="12" x14ac:dyDescent="0.2">
      <c r="C170" s="38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41"/>
      <c r="S170" s="337"/>
      <c r="T170" s="41"/>
      <c r="U170" s="362"/>
      <c r="V170" s="41"/>
    </row>
    <row r="171" spans="3:22" s="37" customFormat="1" ht="12" x14ac:dyDescent="0.2">
      <c r="C171" s="38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41"/>
      <c r="S171" s="337"/>
      <c r="T171" s="41"/>
      <c r="U171" s="362"/>
      <c r="V171" s="41"/>
    </row>
    <row r="172" spans="3:22" s="37" customFormat="1" ht="12" x14ac:dyDescent="0.2">
      <c r="C172" s="38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41"/>
      <c r="S172" s="337"/>
      <c r="T172" s="41"/>
      <c r="U172" s="362"/>
      <c r="V172" s="41"/>
    </row>
    <row r="173" spans="3:22" s="37" customFormat="1" ht="12" x14ac:dyDescent="0.2">
      <c r="C173" s="38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41"/>
      <c r="S173" s="337"/>
      <c r="T173" s="41"/>
      <c r="U173" s="362"/>
      <c r="V173" s="41"/>
    </row>
    <row r="174" spans="3:22" s="37" customFormat="1" ht="12" x14ac:dyDescent="0.2">
      <c r="C174" s="38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41"/>
      <c r="S174" s="337"/>
      <c r="T174" s="41"/>
      <c r="U174" s="362"/>
      <c r="V174" s="41"/>
    </row>
    <row r="175" spans="3:22" s="37" customFormat="1" ht="12" x14ac:dyDescent="0.2">
      <c r="C175" s="38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41"/>
      <c r="S175" s="337"/>
      <c r="T175" s="41"/>
      <c r="U175" s="362"/>
      <c r="V175" s="41"/>
    </row>
    <row r="176" spans="3:22" s="37" customFormat="1" ht="12" x14ac:dyDescent="0.2">
      <c r="C176" s="38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41"/>
      <c r="S176" s="337"/>
      <c r="T176" s="41"/>
      <c r="U176" s="362"/>
      <c r="V176" s="41"/>
    </row>
    <row r="177" spans="3:22" s="37" customFormat="1" ht="12" x14ac:dyDescent="0.2">
      <c r="C177" s="38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41"/>
      <c r="S177" s="337"/>
      <c r="T177" s="41"/>
      <c r="U177" s="362"/>
      <c r="V177" s="41"/>
    </row>
    <row r="178" spans="3:22" s="37" customFormat="1" ht="12" x14ac:dyDescent="0.2">
      <c r="C178" s="38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41"/>
      <c r="S178" s="337"/>
      <c r="T178" s="41"/>
      <c r="U178" s="362"/>
      <c r="V178" s="41"/>
    </row>
    <row r="179" spans="3:22" s="37" customFormat="1" ht="12" x14ac:dyDescent="0.2">
      <c r="C179" s="38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41"/>
      <c r="S179" s="337"/>
      <c r="T179" s="41"/>
      <c r="U179" s="362"/>
      <c r="V179" s="41"/>
    </row>
    <row r="180" spans="3:22" s="37" customFormat="1" ht="12" x14ac:dyDescent="0.2">
      <c r="C180" s="38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41"/>
      <c r="S180" s="337"/>
      <c r="T180" s="41"/>
      <c r="U180" s="362"/>
      <c r="V180" s="41"/>
    </row>
    <row r="181" spans="3:22" s="37" customFormat="1" ht="12" x14ac:dyDescent="0.2">
      <c r="C181" s="38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41"/>
      <c r="S181" s="337"/>
      <c r="T181" s="41"/>
      <c r="U181" s="362"/>
      <c r="V181" s="41"/>
    </row>
    <row r="182" spans="3:22" s="37" customFormat="1" ht="12" x14ac:dyDescent="0.2">
      <c r="C182" s="38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41"/>
      <c r="S182" s="337"/>
      <c r="T182" s="41"/>
      <c r="U182" s="362"/>
      <c r="V182" s="41"/>
    </row>
    <row r="183" spans="3:22" s="37" customFormat="1" ht="12" x14ac:dyDescent="0.2">
      <c r="C183" s="38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41"/>
      <c r="S183" s="337"/>
      <c r="T183" s="41"/>
      <c r="U183" s="362"/>
      <c r="V183" s="41"/>
    </row>
    <row r="184" spans="3:22" s="37" customFormat="1" ht="12" x14ac:dyDescent="0.2">
      <c r="C184" s="38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41"/>
      <c r="S184" s="337"/>
      <c r="T184" s="41"/>
      <c r="U184" s="362"/>
      <c r="V184" s="41"/>
    </row>
    <row r="185" spans="3:22" s="37" customFormat="1" ht="12" x14ac:dyDescent="0.2">
      <c r="C185" s="38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41"/>
      <c r="S185" s="337"/>
      <c r="T185" s="41"/>
      <c r="U185" s="362"/>
      <c r="V185" s="41"/>
    </row>
    <row r="186" spans="3:22" s="37" customFormat="1" ht="12" x14ac:dyDescent="0.2">
      <c r="C186" s="38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41"/>
      <c r="S186" s="337"/>
      <c r="T186" s="41"/>
      <c r="U186" s="362"/>
      <c r="V186" s="41"/>
    </row>
    <row r="187" spans="3:22" s="37" customFormat="1" ht="12" x14ac:dyDescent="0.2">
      <c r="C187" s="38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41"/>
      <c r="S187" s="337"/>
      <c r="T187" s="41"/>
      <c r="U187" s="362"/>
      <c r="V187" s="41"/>
    </row>
    <row r="188" spans="3:22" s="37" customFormat="1" ht="12" x14ac:dyDescent="0.2">
      <c r="C188" s="38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41"/>
      <c r="S188" s="337"/>
      <c r="T188" s="41"/>
      <c r="U188" s="362"/>
      <c r="V188" s="41"/>
    </row>
    <row r="189" spans="3:22" s="37" customFormat="1" ht="12" x14ac:dyDescent="0.2">
      <c r="C189" s="38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41"/>
      <c r="S189" s="337"/>
      <c r="T189" s="41"/>
      <c r="U189" s="362"/>
      <c r="V189" s="41"/>
    </row>
    <row r="190" spans="3:22" s="37" customFormat="1" ht="12" x14ac:dyDescent="0.2">
      <c r="C190" s="38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41"/>
      <c r="S190" s="337"/>
      <c r="T190" s="41"/>
      <c r="U190" s="362"/>
      <c r="V190" s="41"/>
    </row>
    <row r="191" spans="3:22" s="37" customFormat="1" ht="12" x14ac:dyDescent="0.2">
      <c r="C191" s="38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41"/>
      <c r="S191" s="337"/>
      <c r="T191" s="41"/>
      <c r="U191" s="362"/>
      <c r="V191" s="41"/>
    </row>
    <row r="192" spans="3:22" s="37" customFormat="1" ht="12" x14ac:dyDescent="0.2">
      <c r="C192" s="38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41"/>
      <c r="S192" s="337"/>
      <c r="T192" s="41"/>
      <c r="U192" s="362"/>
      <c r="V192" s="41"/>
    </row>
    <row r="193" spans="3:22" s="37" customFormat="1" ht="12" x14ac:dyDescent="0.2">
      <c r="C193" s="38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41"/>
      <c r="S193" s="337"/>
      <c r="T193" s="41"/>
      <c r="U193" s="362"/>
      <c r="V193" s="41"/>
    </row>
    <row r="194" spans="3:22" s="37" customFormat="1" ht="12" x14ac:dyDescent="0.2">
      <c r="C194" s="38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41"/>
      <c r="S194" s="337"/>
      <c r="T194" s="41"/>
      <c r="U194" s="362"/>
      <c r="V194" s="41"/>
    </row>
    <row r="195" spans="3:22" s="37" customFormat="1" ht="12" x14ac:dyDescent="0.2">
      <c r="C195" s="38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41"/>
      <c r="S195" s="337"/>
      <c r="T195" s="41"/>
      <c r="U195" s="362"/>
      <c r="V195" s="41"/>
    </row>
    <row r="196" spans="3:22" s="37" customFormat="1" ht="12" x14ac:dyDescent="0.2">
      <c r="C196" s="38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41"/>
      <c r="S196" s="337"/>
      <c r="T196" s="41"/>
      <c r="U196" s="362"/>
      <c r="V196" s="41"/>
    </row>
    <row r="197" spans="3:22" s="37" customFormat="1" ht="12" x14ac:dyDescent="0.2">
      <c r="C197" s="38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41"/>
      <c r="S197" s="337"/>
      <c r="T197" s="41"/>
      <c r="U197" s="362"/>
      <c r="V197" s="41"/>
    </row>
    <row r="198" spans="3:22" s="37" customFormat="1" ht="12" x14ac:dyDescent="0.2">
      <c r="C198" s="38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41"/>
      <c r="S198" s="337"/>
      <c r="T198" s="41"/>
      <c r="U198" s="362"/>
      <c r="V198" s="41"/>
    </row>
    <row r="199" spans="3:22" s="37" customFormat="1" ht="12" x14ac:dyDescent="0.2">
      <c r="C199" s="38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41"/>
      <c r="S199" s="337"/>
      <c r="T199" s="41"/>
      <c r="U199" s="362"/>
      <c r="V199" s="41"/>
    </row>
    <row r="200" spans="3:22" s="37" customFormat="1" ht="12" x14ac:dyDescent="0.2">
      <c r="C200" s="38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41"/>
      <c r="S200" s="337"/>
      <c r="T200" s="41"/>
      <c r="U200" s="362"/>
      <c r="V200" s="41"/>
    </row>
    <row r="201" spans="3:22" s="37" customFormat="1" ht="12" x14ac:dyDescent="0.2">
      <c r="C201" s="38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41"/>
      <c r="S201" s="337"/>
      <c r="T201" s="41"/>
      <c r="U201" s="362"/>
      <c r="V201" s="41"/>
    </row>
    <row r="202" spans="3:22" s="37" customFormat="1" ht="12" x14ac:dyDescent="0.2">
      <c r="C202" s="38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41"/>
      <c r="S202" s="337"/>
      <c r="T202" s="41"/>
      <c r="U202" s="362"/>
      <c r="V202" s="41"/>
    </row>
    <row r="203" spans="3:22" s="37" customFormat="1" ht="12" x14ac:dyDescent="0.2">
      <c r="C203" s="38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41"/>
      <c r="S203" s="337"/>
      <c r="T203" s="41"/>
      <c r="U203" s="362"/>
      <c r="V203" s="41"/>
    </row>
    <row r="204" spans="3:22" s="37" customFormat="1" ht="12" x14ac:dyDescent="0.2">
      <c r="C204" s="38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41"/>
      <c r="S204" s="337"/>
      <c r="T204" s="41"/>
      <c r="U204" s="362"/>
      <c r="V204" s="41"/>
    </row>
    <row r="205" spans="3:22" s="37" customFormat="1" ht="12" x14ac:dyDescent="0.2">
      <c r="C205" s="38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41"/>
      <c r="S205" s="337"/>
      <c r="T205" s="41"/>
      <c r="U205" s="362"/>
      <c r="V205" s="41"/>
    </row>
    <row r="206" spans="3:22" s="37" customFormat="1" ht="12" x14ac:dyDescent="0.2">
      <c r="C206" s="38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41"/>
      <c r="S206" s="337"/>
      <c r="T206" s="41"/>
      <c r="U206" s="362"/>
      <c r="V206" s="41"/>
    </row>
    <row r="207" spans="3:22" s="37" customFormat="1" ht="12" x14ac:dyDescent="0.2">
      <c r="C207" s="38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41"/>
      <c r="S207" s="337"/>
      <c r="T207" s="41"/>
      <c r="U207" s="362"/>
      <c r="V207" s="41"/>
    </row>
    <row r="208" spans="3:22" s="37" customFormat="1" ht="12" x14ac:dyDescent="0.2">
      <c r="C208" s="38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41"/>
      <c r="S208" s="337"/>
      <c r="T208" s="41"/>
      <c r="U208" s="362"/>
      <c r="V208" s="41"/>
    </row>
    <row r="209" spans="3:22" s="37" customFormat="1" ht="12" x14ac:dyDescent="0.2">
      <c r="C209" s="38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41"/>
      <c r="S209" s="337"/>
      <c r="T209" s="41"/>
      <c r="U209" s="362"/>
      <c r="V209" s="41"/>
    </row>
    <row r="210" spans="3:22" s="37" customFormat="1" ht="12" x14ac:dyDescent="0.2">
      <c r="C210" s="38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41"/>
      <c r="S210" s="337"/>
      <c r="T210" s="41"/>
      <c r="U210" s="362"/>
      <c r="V210" s="41"/>
    </row>
    <row r="211" spans="3:22" s="37" customFormat="1" ht="12" x14ac:dyDescent="0.2">
      <c r="C211" s="38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41"/>
      <c r="S211" s="337"/>
      <c r="T211" s="41"/>
      <c r="U211" s="362"/>
      <c r="V211" s="41"/>
    </row>
    <row r="212" spans="3:22" s="37" customFormat="1" ht="12" x14ac:dyDescent="0.2">
      <c r="C212" s="38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41"/>
      <c r="S212" s="337"/>
      <c r="T212" s="41"/>
      <c r="U212" s="362"/>
      <c r="V212" s="41"/>
    </row>
    <row r="213" spans="3:22" s="37" customFormat="1" ht="12" x14ac:dyDescent="0.2">
      <c r="C213" s="38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41"/>
      <c r="S213" s="337"/>
      <c r="T213" s="41"/>
      <c r="U213" s="362"/>
      <c r="V213" s="41"/>
    </row>
    <row r="214" spans="3:22" s="37" customFormat="1" ht="12" x14ac:dyDescent="0.2">
      <c r="C214" s="38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41"/>
      <c r="S214" s="337"/>
      <c r="T214" s="41"/>
      <c r="U214" s="362"/>
      <c r="V214" s="41"/>
    </row>
    <row r="215" spans="3:22" s="37" customFormat="1" ht="12" x14ac:dyDescent="0.2">
      <c r="C215" s="38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41"/>
      <c r="S215" s="337"/>
      <c r="T215" s="41"/>
      <c r="U215" s="362"/>
      <c r="V215" s="41"/>
    </row>
    <row r="216" spans="3:22" s="37" customFormat="1" ht="12" x14ac:dyDescent="0.2">
      <c r="C216" s="38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41"/>
      <c r="S216" s="337"/>
      <c r="T216" s="41"/>
      <c r="U216" s="362"/>
      <c r="V216" s="41"/>
    </row>
    <row r="217" spans="3:22" s="37" customFormat="1" ht="12" x14ac:dyDescent="0.2">
      <c r="C217" s="38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41"/>
      <c r="S217" s="337"/>
      <c r="T217" s="41"/>
      <c r="U217" s="362"/>
      <c r="V217" s="41"/>
    </row>
    <row r="218" spans="3:22" s="37" customFormat="1" ht="12" x14ac:dyDescent="0.2">
      <c r="C218" s="38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41"/>
      <c r="S218" s="337"/>
      <c r="T218" s="41"/>
      <c r="U218" s="362"/>
      <c r="V218" s="41"/>
    </row>
    <row r="219" spans="3:22" s="37" customFormat="1" ht="12" x14ac:dyDescent="0.2">
      <c r="C219" s="38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41"/>
      <c r="S219" s="337"/>
      <c r="T219" s="41"/>
      <c r="U219" s="362"/>
      <c r="V219" s="41"/>
    </row>
    <row r="220" spans="3:22" s="37" customFormat="1" ht="12" x14ac:dyDescent="0.2">
      <c r="C220" s="38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41"/>
      <c r="S220" s="337"/>
      <c r="T220" s="41"/>
      <c r="U220" s="362"/>
      <c r="V220" s="41"/>
    </row>
    <row r="221" spans="3:22" s="37" customFormat="1" ht="12" x14ac:dyDescent="0.2">
      <c r="C221" s="38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41"/>
      <c r="S221" s="337"/>
      <c r="T221" s="41"/>
      <c r="U221" s="362"/>
      <c r="V221" s="41"/>
    </row>
    <row r="222" spans="3:22" s="37" customFormat="1" ht="12" x14ac:dyDescent="0.2">
      <c r="C222" s="38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41"/>
      <c r="S222" s="337"/>
      <c r="T222" s="41"/>
      <c r="U222" s="362"/>
      <c r="V222" s="41"/>
    </row>
    <row r="223" spans="3:22" s="37" customFormat="1" ht="12" x14ac:dyDescent="0.2">
      <c r="C223" s="38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41"/>
      <c r="S223" s="337"/>
      <c r="T223" s="41"/>
      <c r="U223" s="362"/>
      <c r="V223" s="41"/>
    </row>
    <row r="224" spans="3:22" s="37" customFormat="1" ht="12" x14ac:dyDescent="0.2">
      <c r="C224" s="38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41"/>
      <c r="S224" s="337"/>
      <c r="T224" s="41"/>
      <c r="U224" s="362"/>
      <c r="V224" s="41"/>
    </row>
    <row r="225" spans="3:22" s="37" customFormat="1" ht="12" x14ac:dyDescent="0.2">
      <c r="C225" s="38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41"/>
      <c r="S225" s="337"/>
      <c r="T225" s="41"/>
      <c r="U225" s="362"/>
      <c r="V225" s="41"/>
    </row>
    <row r="226" spans="3:22" s="37" customFormat="1" ht="12" x14ac:dyDescent="0.2">
      <c r="C226" s="38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41"/>
      <c r="S226" s="337"/>
      <c r="T226" s="41"/>
      <c r="U226" s="362"/>
      <c r="V226" s="41"/>
    </row>
    <row r="227" spans="3:22" s="37" customFormat="1" ht="12" x14ac:dyDescent="0.2">
      <c r="C227" s="38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41"/>
      <c r="S227" s="337"/>
      <c r="T227" s="41"/>
      <c r="U227" s="362"/>
      <c r="V227" s="41"/>
    </row>
    <row r="228" spans="3:22" s="37" customFormat="1" ht="12" x14ac:dyDescent="0.2">
      <c r="C228" s="38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41"/>
      <c r="S228" s="337"/>
      <c r="T228" s="41"/>
      <c r="U228" s="362"/>
      <c r="V228" s="41"/>
    </row>
    <row r="229" spans="3:22" s="37" customFormat="1" ht="12" x14ac:dyDescent="0.2">
      <c r="C229" s="38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41"/>
      <c r="S229" s="337"/>
      <c r="T229" s="41"/>
      <c r="U229" s="362"/>
      <c r="V229" s="41"/>
    </row>
    <row r="230" spans="3:22" s="37" customFormat="1" ht="12" x14ac:dyDescent="0.2">
      <c r="C230" s="38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41"/>
      <c r="S230" s="337"/>
      <c r="T230" s="41"/>
      <c r="U230" s="362"/>
      <c r="V230" s="41"/>
    </row>
    <row r="231" spans="3:22" s="37" customFormat="1" ht="12" x14ac:dyDescent="0.2">
      <c r="C231" s="38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41"/>
      <c r="S231" s="337"/>
      <c r="T231" s="41"/>
      <c r="U231" s="362"/>
      <c r="V231" s="41"/>
    </row>
    <row r="232" spans="3:22" s="37" customFormat="1" ht="12" x14ac:dyDescent="0.2">
      <c r="C232" s="38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41"/>
      <c r="S232" s="337"/>
      <c r="T232" s="41"/>
      <c r="U232" s="362"/>
      <c r="V232" s="41"/>
    </row>
    <row r="233" spans="3:22" s="37" customFormat="1" ht="12" x14ac:dyDescent="0.2">
      <c r="C233" s="38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41"/>
      <c r="S233" s="337"/>
      <c r="T233" s="41"/>
      <c r="U233" s="362"/>
      <c r="V233" s="41"/>
    </row>
    <row r="234" spans="3:22" s="37" customFormat="1" ht="12" x14ac:dyDescent="0.2">
      <c r="C234" s="38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41"/>
      <c r="S234" s="337"/>
      <c r="T234" s="41"/>
      <c r="U234" s="362"/>
      <c r="V234" s="41"/>
    </row>
    <row r="235" spans="3:22" s="37" customFormat="1" ht="12" x14ac:dyDescent="0.2">
      <c r="C235" s="38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41"/>
      <c r="S235" s="337"/>
      <c r="T235" s="41"/>
      <c r="U235" s="362"/>
      <c r="V235" s="41"/>
    </row>
    <row r="236" spans="3:22" s="37" customFormat="1" ht="12" x14ac:dyDescent="0.2">
      <c r="C236" s="38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41"/>
      <c r="S236" s="337"/>
      <c r="T236" s="41"/>
      <c r="U236" s="362"/>
      <c r="V236" s="41"/>
    </row>
    <row r="237" spans="3:22" s="37" customFormat="1" ht="12" x14ac:dyDescent="0.2">
      <c r="C237" s="38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41"/>
      <c r="S237" s="337"/>
      <c r="T237" s="41"/>
      <c r="U237" s="362"/>
      <c r="V237" s="41"/>
    </row>
    <row r="238" spans="3:22" s="37" customFormat="1" ht="12" x14ac:dyDescent="0.2">
      <c r="C238" s="38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41"/>
      <c r="S238" s="337"/>
      <c r="T238" s="41"/>
      <c r="U238" s="362"/>
      <c r="V238" s="41"/>
    </row>
    <row r="239" spans="3:22" s="37" customFormat="1" ht="12" x14ac:dyDescent="0.2">
      <c r="C239" s="38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41"/>
      <c r="S239" s="337"/>
      <c r="T239" s="41"/>
      <c r="U239" s="362"/>
      <c r="V239" s="41"/>
    </row>
    <row r="240" spans="3:22" s="37" customFormat="1" ht="12" x14ac:dyDescent="0.2">
      <c r="C240" s="38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41"/>
      <c r="S240" s="337"/>
      <c r="T240" s="41"/>
      <c r="U240" s="362"/>
      <c r="V240" s="41"/>
    </row>
    <row r="241" spans="3:22" s="37" customFormat="1" ht="12" x14ac:dyDescent="0.2">
      <c r="C241" s="38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41"/>
      <c r="S241" s="337"/>
      <c r="T241" s="41"/>
      <c r="U241" s="362"/>
      <c r="V241" s="41"/>
    </row>
    <row r="242" spans="3:22" s="37" customFormat="1" ht="12" x14ac:dyDescent="0.2">
      <c r="C242" s="38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41"/>
      <c r="S242" s="337"/>
      <c r="T242" s="41"/>
      <c r="U242" s="362"/>
      <c r="V242" s="41"/>
    </row>
    <row r="243" spans="3:22" s="37" customFormat="1" ht="12" x14ac:dyDescent="0.2">
      <c r="C243" s="38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41"/>
      <c r="S243" s="337"/>
      <c r="T243" s="41"/>
      <c r="U243" s="362"/>
      <c r="V243" s="41"/>
    </row>
    <row r="244" spans="3:22" s="37" customFormat="1" ht="12" x14ac:dyDescent="0.2">
      <c r="C244" s="38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41"/>
      <c r="S244" s="337"/>
      <c r="T244" s="41"/>
      <c r="U244" s="362"/>
      <c r="V244" s="41"/>
    </row>
    <row r="245" spans="3:22" s="37" customFormat="1" ht="12" x14ac:dyDescent="0.2">
      <c r="C245" s="38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41"/>
      <c r="S245" s="337"/>
      <c r="T245" s="41"/>
      <c r="U245" s="362"/>
      <c r="V245" s="41"/>
    </row>
    <row r="246" spans="3:22" s="37" customFormat="1" ht="12" x14ac:dyDescent="0.2">
      <c r="C246" s="38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41"/>
      <c r="S246" s="337"/>
      <c r="T246" s="41"/>
      <c r="U246" s="362"/>
      <c r="V246" s="41"/>
    </row>
    <row r="247" spans="3:22" s="37" customFormat="1" ht="12" x14ac:dyDescent="0.2">
      <c r="C247" s="38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41"/>
      <c r="S247" s="337"/>
      <c r="T247" s="41"/>
      <c r="U247" s="362"/>
      <c r="V247" s="41"/>
    </row>
    <row r="248" spans="3:22" s="37" customFormat="1" ht="12" x14ac:dyDescent="0.2">
      <c r="C248" s="38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41"/>
      <c r="S248" s="337"/>
      <c r="T248" s="41"/>
      <c r="U248" s="362"/>
      <c r="V248" s="41"/>
    </row>
    <row r="249" spans="3:22" s="37" customFormat="1" ht="12" x14ac:dyDescent="0.2">
      <c r="C249" s="38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41"/>
      <c r="S249" s="337"/>
      <c r="T249" s="41"/>
      <c r="U249" s="362"/>
      <c r="V249" s="41"/>
    </row>
    <row r="250" spans="3:22" s="37" customFormat="1" ht="12" x14ac:dyDescent="0.2">
      <c r="C250" s="38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41"/>
      <c r="S250" s="337"/>
      <c r="T250" s="41"/>
      <c r="U250" s="362"/>
      <c r="V250" s="41"/>
    </row>
    <row r="251" spans="3:22" s="37" customFormat="1" ht="12" x14ac:dyDescent="0.2">
      <c r="C251" s="38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41"/>
      <c r="S251" s="337"/>
      <c r="T251" s="41"/>
      <c r="U251" s="362"/>
      <c r="V251" s="41"/>
    </row>
    <row r="252" spans="3:22" s="37" customFormat="1" ht="12" x14ac:dyDescent="0.2">
      <c r="C252" s="38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41"/>
      <c r="S252" s="337"/>
      <c r="T252" s="41"/>
      <c r="U252" s="362"/>
      <c r="V252" s="41"/>
    </row>
    <row r="253" spans="3:22" s="37" customFormat="1" ht="12" x14ac:dyDescent="0.2">
      <c r="C253" s="38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41"/>
      <c r="S253" s="337"/>
      <c r="T253" s="41"/>
      <c r="U253" s="362"/>
      <c r="V253" s="41"/>
    </row>
    <row r="254" spans="3:22" s="37" customFormat="1" ht="12" x14ac:dyDescent="0.2">
      <c r="C254" s="38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41"/>
      <c r="S254" s="337"/>
      <c r="T254" s="41"/>
      <c r="U254" s="362"/>
      <c r="V254" s="41"/>
    </row>
    <row r="255" spans="3:22" s="37" customFormat="1" ht="12" x14ac:dyDescent="0.2">
      <c r="C255" s="38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41"/>
      <c r="S255" s="337"/>
      <c r="T255" s="41"/>
      <c r="U255" s="362"/>
      <c r="V255" s="41"/>
    </row>
    <row r="256" spans="3:22" s="37" customFormat="1" ht="12" x14ac:dyDescent="0.2">
      <c r="C256" s="38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41"/>
      <c r="S256" s="337"/>
      <c r="T256" s="41"/>
      <c r="U256" s="362"/>
      <c r="V256" s="41"/>
    </row>
    <row r="257" spans="3:22" s="37" customFormat="1" ht="12" x14ac:dyDescent="0.2">
      <c r="C257" s="38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41"/>
      <c r="S257" s="337"/>
      <c r="T257" s="41"/>
      <c r="U257" s="362"/>
      <c r="V257" s="41"/>
    </row>
    <row r="258" spans="3:22" s="37" customFormat="1" ht="12" x14ac:dyDescent="0.2">
      <c r="C258" s="38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41"/>
      <c r="S258" s="337"/>
      <c r="T258" s="41"/>
      <c r="U258" s="362"/>
      <c r="V258" s="41"/>
    </row>
    <row r="259" spans="3:22" s="37" customFormat="1" ht="12" x14ac:dyDescent="0.2">
      <c r="C259" s="38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41"/>
      <c r="S259" s="337"/>
      <c r="T259" s="41"/>
      <c r="U259" s="362"/>
      <c r="V259" s="41"/>
    </row>
    <row r="260" spans="3:22" s="37" customFormat="1" ht="12" x14ac:dyDescent="0.2">
      <c r="C260" s="38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41"/>
      <c r="S260" s="337"/>
      <c r="T260" s="41"/>
      <c r="U260" s="362"/>
      <c r="V260" s="41"/>
    </row>
    <row r="261" spans="3:22" s="37" customFormat="1" ht="12" x14ac:dyDescent="0.2">
      <c r="C261" s="38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41"/>
      <c r="S261" s="337"/>
      <c r="T261" s="41"/>
      <c r="U261" s="362"/>
      <c r="V261" s="41"/>
    </row>
    <row r="262" spans="3:22" s="37" customFormat="1" ht="12" x14ac:dyDescent="0.2">
      <c r="C262" s="38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41"/>
      <c r="S262" s="337"/>
      <c r="T262" s="41"/>
      <c r="U262" s="362"/>
      <c r="V262" s="41"/>
    </row>
    <row r="263" spans="3:22" s="37" customFormat="1" ht="12" x14ac:dyDescent="0.2">
      <c r="C263" s="38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41"/>
      <c r="S263" s="337"/>
      <c r="T263" s="41"/>
      <c r="U263" s="362"/>
      <c r="V263" s="41"/>
    </row>
    <row r="264" spans="3:22" s="37" customFormat="1" ht="12" x14ac:dyDescent="0.2">
      <c r="C264" s="38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41"/>
      <c r="S264" s="337"/>
      <c r="T264" s="41"/>
      <c r="U264" s="362"/>
      <c r="V264" s="41"/>
    </row>
    <row r="265" spans="3:22" s="37" customFormat="1" ht="12" x14ac:dyDescent="0.2">
      <c r="C265" s="38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41"/>
      <c r="S265" s="337"/>
      <c r="T265" s="41"/>
      <c r="U265" s="362"/>
      <c r="V265" s="41"/>
    </row>
    <row r="266" spans="3:22" s="37" customFormat="1" ht="12" x14ac:dyDescent="0.2">
      <c r="C266" s="38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41"/>
      <c r="S266" s="337"/>
      <c r="T266" s="41"/>
      <c r="U266" s="362"/>
      <c r="V266" s="41"/>
    </row>
    <row r="267" spans="3:22" s="37" customFormat="1" ht="12" x14ac:dyDescent="0.2">
      <c r="C267" s="38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41"/>
      <c r="S267" s="337"/>
      <c r="T267" s="41"/>
      <c r="U267" s="362"/>
      <c r="V267" s="41"/>
    </row>
    <row r="268" spans="3:22" s="37" customFormat="1" ht="12" x14ac:dyDescent="0.2">
      <c r="C268" s="38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41"/>
      <c r="S268" s="337"/>
      <c r="T268" s="41"/>
      <c r="U268" s="362"/>
      <c r="V268" s="41"/>
    </row>
    <row r="269" spans="3:22" s="37" customFormat="1" ht="12" x14ac:dyDescent="0.2">
      <c r="C269" s="38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41"/>
      <c r="S269" s="337"/>
      <c r="T269" s="41"/>
      <c r="U269" s="362"/>
      <c r="V269" s="41"/>
    </row>
    <row r="270" spans="3:22" s="37" customFormat="1" ht="12" x14ac:dyDescent="0.2">
      <c r="C270" s="38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41"/>
      <c r="S270" s="337"/>
      <c r="T270" s="41"/>
      <c r="U270" s="362"/>
      <c r="V270" s="41"/>
    </row>
    <row r="271" spans="3:22" s="37" customFormat="1" ht="12" x14ac:dyDescent="0.2">
      <c r="C271" s="38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41"/>
      <c r="S271" s="337"/>
      <c r="T271" s="41"/>
      <c r="U271" s="362"/>
      <c r="V271" s="41"/>
    </row>
    <row r="272" spans="3:22" s="37" customFormat="1" ht="12" x14ac:dyDescent="0.2">
      <c r="C272" s="38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41"/>
      <c r="S272" s="337"/>
      <c r="T272" s="41"/>
      <c r="U272" s="362"/>
      <c r="V272" s="41"/>
    </row>
    <row r="273" spans="3:22" s="37" customFormat="1" ht="12" x14ac:dyDescent="0.2">
      <c r="C273" s="38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41"/>
      <c r="S273" s="337"/>
      <c r="T273" s="41"/>
      <c r="U273" s="362"/>
      <c r="V273" s="41"/>
    </row>
    <row r="274" spans="3:22" s="37" customFormat="1" ht="12" x14ac:dyDescent="0.2">
      <c r="C274" s="38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41"/>
      <c r="S274" s="337"/>
      <c r="T274" s="41"/>
      <c r="U274" s="362"/>
      <c r="V274" s="41"/>
    </row>
    <row r="275" spans="3:22" s="37" customFormat="1" ht="12" x14ac:dyDescent="0.2">
      <c r="C275" s="38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41"/>
      <c r="S275" s="337"/>
      <c r="T275" s="41"/>
      <c r="U275" s="362"/>
      <c r="V275" s="41"/>
    </row>
    <row r="276" spans="3:22" s="37" customFormat="1" ht="12" x14ac:dyDescent="0.2">
      <c r="C276" s="38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41"/>
      <c r="S276" s="337"/>
      <c r="T276" s="41"/>
      <c r="U276" s="362"/>
      <c r="V276" s="41"/>
    </row>
    <row r="277" spans="3:22" x14ac:dyDescent="0.25"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R277" s="27"/>
      <c r="T277" s="27"/>
      <c r="V277" s="27"/>
    </row>
  </sheetData>
  <mergeCells count="1">
    <mergeCell ref="E144:P144"/>
  </mergeCells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1"/>
  </sheetPr>
  <dimension ref="A1:N346"/>
  <sheetViews>
    <sheetView topLeftCell="A151" workbookViewId="0"/>
  </sheetViews>
  <sheetFormatPr defaultColWidth="13.42578125" defaultRowHeight="11.25" x14ac:dyDescent="0.2"/>
  <cols>
    <col min="1" max="1" width="10.28515625" style="272" bestFit="1" customWidth="1"/>
    <col min="2" max="2" width="16.7109375" style="272" bestFit="1" customWidth="1"/>
    <col min="3" max="3" width="17.5703125" style="272" bestFit="1" customWidth="1"/>
    <col min="4" max="4" width="22.85546875" style="272" bestFit="1" customWidth="1"/>
    <col min="5" max="5" width="26" style="272" customWidth="1"/>
    <col min="6" max="7" width="8" style="272" bestFit="1" customWidth="1"/>
    <col min="8" max="8" width="18.140625" style="271" bestFit="1" customWidth="1"/>
    <col min="9" max="9" width="10.5703125" style="271" bestFit="1" customWidth="1"/>
    <col min="10" max="11" width="13.42578125" style="276"/>
    <col min="12" max="12" width="13.42578125" style="327"/>
    <col min="13" max="14" width="13.42578125" style="276"/>
    <col min="15" max="257" width="13.42578125" style="271"/>
    <col min="258" max="258" width="10.28515625" style="271" bestFit="1" customWidth="1"/>
    <col min="259" max="259" width="16.7109375" style="271" bestFit="1" customWidth="1"/>
    <col min="260" max="260" width="17.5703125" style="271" bestFit="1" customWidth="1"/>
    <col min="261" max="261" width="12" style="271" bestFit="1" customWidth="1"/>
    <col min="262" max="262" width="26" style="271" customWidth="1"/>
    <col min="263" max="263" width="8" style="271" bestFit="1" customWidth="1"/>
    <col min="264" max="264" width="18.140625" style="271" bestFit="1" customWidth="1"/>
    <col min="265" max="265" width="10.5703125" style="271" bestFit="1" customWidth="1"/>
    <col min="266" max="513" width="13.42578125" style="271"/>
    <col min="514" max="514" width="10.28515625" style="271" bestFit="1" customWidth="1"/>
    <col min="515" max="515" width="16.7109375" style="271" bestFit="1" customWidth="1"/>
    <col min="516" max="516" width="17.5703125" style="271" bestFit="1" customWidth="1"/>
    <col min="517" max="517" width="12" style="271" bestFit="1" customWidth="1"/>
    <col min="518" max="518" width="26" style="271" customWidth="1"/>
    <col min="519" max="519" width="8" style="271" bestFit="1" customWidth="1"/>
    <col min="520" max="520" width="18.140625" style="271" bestFit="1" customWidth="1"/>
    <col min="521" max="521" width="10.5703125" style="271" bestFit="1" customWidth="1"/>
    <col min="522" max="769" width="13.42578125" style="271"/>
    <col min="770" max="770" width="10.28515625" style="271" bestFit="1" customWidth="1"/>
    <col min="771" max="771" width="16.7109375" style="271" bestFit="1" customWidth="1"/>
    <col min="772" max="772" width="17.5703125" style="271" bestFit="1" customWidth="1"/>
    <col min="773" max="773" width="12" style="271" bestFit="1" customWidth="1"/>
    <col min="774" max="774" width="26" style="271" customWidth="1"/>
    <col min="775" max="775" width="8" style="271" bestFit="1" customWidth="1"/>
    <col min="776" max="776" width="18.140625" style="271" bestFit="1" customWidth="1"/>
    <col min="777" max="777" width="10.5703125" style="271" bestFit="1" customWidth="1"/>
    <col min="778" max="1025" width="13.42578125" style="271"/>
    <col min="1026" max="1026" width="10.28515625" style="271" bestFit="1" customWidth="1"/>
    <col min="1027" max="1027" width="16.7109375" style="271" bestFit="1" customWidth="1"/>
    <col min="1028" max="1028" width="17.5703125" style="271" bestFit="1" customWidth="1"/>
    <col min="1029" max="1029" width="12" style="271" bestFit="1" customWidth="1"/>
    <col min="1030" max="1030" width="26" style="271" customWidth="1"/>
    <col min="1031" max="1031" width="8" style="271" bestFit="1" customWidth="1"/>
    <col min="1032" max="1032" width="18.140625" style="271" bestFit="1" customWidth="1"/>
    <col min="1033" max="1033" width="10.5703125" style="271" bestFit="1" customWidth="1"/>
    <col min="1034" max="1281" width="13.42578125" style="271"/>
    <col min="1282" max="1282" width="10.28515625" style="271" bestFit="1" customWidth="1"/>
    <col min="1283" max="1283" width="16.7109375" style="271" bestFit="1" customWidth="1"/>
    <col min="1284" max="1284" width="17.5703125" style="271" bestFit="1" customWidth="1"/>
    <col min="1285" max="1285" width="12" style="271" bestFit="1" customWidth="1"/>
    <col min="1286" max="1286" width="26" style="271" customWidth="1"/>
    <col min="1287" max="1287" width="8" style="271" bestFit="1" customWidth="1"/>
    <col min="1288" max="1288" width="18.140625" style="271" bestFit="1" customWidth="1"/>
    <col min="1289" max="1289" width="10.5703125" style="271" bestFit="1" customWidth="1"/>
    <col min="1290" max="1537" width="13.42578125" style="271"/>
    <col min="1538" max="1538" width="10.28515625" style="271" bestFit="1" customWidth="1"/>
    <col min="1539" max="1539" width="16.7109375" style="271" bestFit="1" customWidth="1"/>
    <col min="1540" max="1540" width="17.5703125" style="271" bestFit="1" customWidth="1"/>
    <col min="1541" max="1541" width="12" style="271" bestFit="1" customWidth="1"/>
    <col min="1542" max="1542" width="26" style="271" customWidth="1"/>
    <col min="1543" max="1543" width="8" style="271" bestFit="1" customWidth="1"/>
    <col min="1544" max="1544" width="18.140625" style="271" bestFit="1" customWidth="1"/>
    <col min="1545" max="1545" width="10.5703125" style="271" bestFit="1" customWidth="1"/>
    <col min="1546" max="1793" width="13.42578125" style="271"/>
    <col min="1794" max="1794" width="10.28515625" style="271" bestFit="1" customWidth="1"/>
    <col min="1795" max="1795" width="16.7109375" style="271" bestFit="1" customWidth="1"/>
    <col min="1796" max="1796" width="17.5703125" style="271" bestFit="1" customWidth="1"/>
    <col min="1797" max="1797" width="12" style="271" bestFit="1" customWidth="1"/>
    <col min="1798" max="1798" width="26" style="271" customWidth="1"/>
    <col min="1799" max="1799" width="8" style="271" bestFit="1" customWidth="1"/>
    <col min="1800" max="1800" width="18.140625" style="271" bestFit="1" customWidth="1"/>
    <col min="1801" max="1801" width="10.5703125" style="271" bestFit="1" customWidth="1"/>
    <col min="1802" max="2049" width="13.42578125" style="271"/>
    <col min="2050" max="2050" width="10.28515625" style="271" bestFit="1" customWidth="1"/>
    <col min="2051" max="2051" width="16.7109375" style="271" bestFit="1" customWidth="1"/>
    <col min="2052" max="2052" width="17.5703125" style="271" bestFit="1" customWidth="1"/>
    <col min="2053" max="2053" width="12" style="271" bestFit="1" customWidth="1"/>
    <col min="2054" max="2054" width="26" style="271" customWidth="1"/>
    <col min="2055" max="2055" width="8" style="271" bestFit="1" customWidth="1"/>
    <col min="2056" max="2056" width="18.140625" style="271" bestFit="1" customWidth="1"/>
    <col min="2057" max="2057" width="10.5703125" style="271" bestFit="1" customWidth="1"/>
    <col min="2058" max="2305" width="13.42578125" style="271"/>
    <col min="2306" max="2306" width="10.28515625" style="271" bestFit="1" customWidth="1"/>
    <col min="2307" max="2307" width="16.7109375" style="271" bestFit="1" customWidth="1"/>
    <col min="2308" max="2308" width="17.5703125" style="271" bestFit="1" customWidth="1"/>
    <col min="2309" max="2309" width="12" style="271" bestFit="1" customWidth="1"/>
    <col min="2310" max="2310" width="26" style="271" customWidth="1"/>
    <col min="2311" max="2311" width="8" style="271" bestFit="1" customWidth="1"/>
    <col min="2312" max="2312" width="18.140625" style="271" bestFit="1" customWidth="1"/>
    <col min="2313" max="2313" width="10.5703125" style="271" bestFit="1" customWidth="1"/>
    <col min="2314" max="2561" width="13.42578125" style="271"/>
    <col min="2562" max="2562" width="10.28515625" style="271" bestFit="1" customWidth="1"/>
    <col min="2563" max="2563" width="16.7109375" style="271" bestFit="1" customWidth="1"/>
    <col min="2564" max="2564" width="17.5703125" style="271" bestFit="1" customWidth="1"/>
    <col min="2565" max="2565" width="12" style="271" bestFit="1" customWidth="1"/>
    <col min="2566" max="2566" width="26" style="271" customWidth="1"/>
    <col min="2567" max="2567" width="8" style="271" bestFit="1" customWidth="1"/>
    <col min="2568" max="2568" width="18.140625" style="271" bestFit="1" customWidth="1"/>
    <col min="2569" max="2569" width="10.5703125" style="271" bestFit="1" customWidth="1"/>
    <col min="2570" max="2817" width="13.42578125" style="271"/>
    <col min="2818" max="2818" width="10.28515625" style="271" bestFit="1" customWidth="1"/>
    <col min="2819" max="2819" width="16.7109375" style="271" bestFit="1" customWidth="1"/>
    <col min="2820" max="2820" width="17.5703125" style="271" bestFit="1" customWidth="1"/>
    <col min="2821" max="2821" width="12" style="271" bestFit="1" customWidth="1"/>
    <col min="2822" max="2822" width="26" style="271" customWidth="1"/>
    <col min="2823" max="2823" width="8" style="271" bestFit="1" customWidth="1"/>
    <col min="2824" max="2824" width="18.140625" style="271" bestFit="1" customWidth="1"/>
    <col min="2825" max="2825" width="10.5703125" style="271" bestFit="1" customWidth="1"/>
    <col min="2826" max="3073" width="13.42578125" style="271"/>
    <col min="3074" max="3074" width="10.28515625" style="271" bestFit="1" customWidth="1"/>
    <col min="3075" max="3075" width="16.7109375" style="271" bestFit="1" customWidth="1"/>
    <col min="3076" max="3076" width="17.5703125" style="271" bestFit="1" customWidth="1"/>
    <col min="3077" max="3077" width="12" style="271" bestFit="1" customWidth="1"/>
    <col min="3078" max="3078" width="26" style="271" customWidth="1"/>
    <col min="3079" max="3079" width="8" style="271" bestFit="1" customWidth="1"/>
    <col min="3080" max="3080" width="18.140625" style="271" bestFit="1" customWidth="1"/>
    <col min="3081" max="3081" width="10.5703125" style="271" bestFit="1" customWidth="1"/>
    <col min="3082" max="3329" width="13.42578125" style="271"/>
    <col min="3330" max="3330" width="10.28515625" style="271" bestFit="1" customWidth="1"/>
    <col min="3331" max="3331" width="16.7109375" style="271" bestFit="1" customWidth="1"/>
    <col min="3332" max="3332" width="17.5703125" style="271" bestFit="1" customWidth="1"/>
    <col min="3333" max="3333" width="12" style="271" bestFit="1" customWidth="1"/>
    <col min="3334" max="3334" width="26" style="271" customWidth="1"/>
    <col min="3335" max="3335" width="8" style="271" bestFit="1" customWidth="1"/>
    <col min="3336" max="3336" width="18.140625" style="271" bestFit="1" customWidth="1"/>
    <col min="3337" max="3337" width="10.5703125" style="271" bestFit="1" customWidth="1"/>
    <col min="3338" max="3585" width="13.42578125" style="271"/>
    <col min="3586" max="3586" width="10.28515625" style="271" bestFit="1" customWidth="1"/>
    <col min="3587" max="3587" width="16.7109375" style="271" bestFit="1" customWidth="1"/>
    <col min="3588" max="3588" width="17.5703125" style="271" bestFit="1" customWidth="1"/>
    <col min="3589" max="3589" width="12" style="271" bestFit="1" customWidth="1"/>
    <col min="3590" max="3590" width="26" style="271" customWidth="1"/>
    <col min="3591" max="3591" width="8" style="271" bestFit="1" customWidth="1"/>
    <col min="3592" max="3592" width="18.140625" style="271" bestFit="1" customWidth="1"/>
    <col min="3593" max="3593" width="10.5703125" style="271" bestFit="1" customWidth="1"/>
    <col min="3594" max="3841" width="13.42578125" style="271"/>
    <col min="3842" max="3842" width="10.28515625" style="271" bestFit="1" customWidth="1"/>
    <col min="3843" max="3843" width="16.7109375" style="271" bestFit="1" customWidth="1"/>
    <col min="3844" max="3844" width="17.5703125" style="271" bestFit="1" customWidth="1"/>
    <col min="3845" max="3845" width="12" style="271" bestFit="1" customWidth="1"/>
    <col min="3846" max="3846" width="26" style="271" customWidth="1"/>
    <col min="3847" max="3847" width="8" style="271" bestFit="1" customWidth="1"/>
    <col min="3848" max="3848" width="18.140625" style="271" bestFit="1" customWidth="1"/>
    <col min="3849" max="3849" width="10.5703125" style="271" bestFit="1" customWidth="1"/>
    <col min="3850" max="4097" width="13.42578125" style="271"/>
    <col min="4098" max="4098" width="10.28515625" style="271" bestFit="1" customWidth="1"/>
    <col min="4099" max="4099" width="16.7109375" style="271" bestFit="1" customWidth="1"/>
    <col min="4100" max="4100" width="17.5703125" style="271" bestFit="1" customWidth="1"/>
    <col min="4101" max="4101" width="12" style="271" bestFit="1" customWidth="1"/>
    <col min="4102" max="4102" width="26" style="271" customWidth="1"/>
    <col min="4103" max="4103" width="8" style="271" bestFit="1" customWidth="1"/>
    <col min="4104" max="4104" width="18.140625" style="271" bestFit="1" customWidth="1"/>
    <col min="4105" max="4105" width="10.5703125" style="271" bestFit="1" customWidth="1"/>
    <col min="4106" max="4353" width="13.42578125" style="271"/>
    <col min="4354" max="4354" width="10.28515625" style="271" bestFit="1" customWidth="1"/>
    <col min="4355" max="4355" width="16.7109375" style="271" bestFit="1" customWidth="1"/>
    <col min="4356" max="4356" width="17.5703125" style="271" bestFit="1" customWidth="1"/>
    <col min="4357" max="4357" width="12" style="271" bestFit="1" customWidth="1"/>
    <col min="4358" max="4358" width="26" style="271" customWidth="1"/>
    <col min="4359" max="4359" width="8" style="271" bestFit="1" customWidth="1"/>
    <col min="4360" max="4360" width="18.140625" style="271" bestFit="1" customWidth="1"/>
    <col min="4361" max="4361" width="10.5703125" style="271" bestFit="1" customWidth="1"/>
    <col min="4362" max="4609" width="13.42578125" style="271"/>
    <col min="4610" max="4610" width="10.28515625" style="271" bestFit="1" customWidth="1"/>
    <col min="4611" max="4611" width="16.7109375" style="271" bestFit="1" customWidth="1"/>
    <col min="4612" max="4612" width="17.5703125" style="271" bestFit="1" customWidth="1"/>
    <col min="4613" max="4613" width="12" style="271" bestFit="1" customWidth="1"/>
    <col min="4614" max="4614" width="26" style="271" customWidth="1"/>
    <col min="4615" max="4615" width="8" style="271" bestFit="1" customWidth="1"/>
    <col min="4616" max="4616" width="18.140625" style="271" bestFit="1" customWidth="1"/>
    <col min="4617" max="4617" width="10.5703125" style="271" bestFit="1" customWidth="1"/>
    <col min="4618" max="4865" width="13.42578125" style="271"/>
    <col min="4866" max="4866" width="10.28515625" style="271" bestFit="1" customWidth="1"/>
    <col min="4867" max="4867" width="16.7109375" style="271" bestFit="1" customWidth="1"/>
    <col min="4868" max="4868" width="17.5703125" style="271" bestFit="1" customWidth="1"/>
    <col min="4869" max="4869" width="12" style="271" bestFit="1" customWidth="1"/>
    <col min="4870" max="4870" width="26" style="271" customWidth="1"/>
    <col min="4871" max="4871" width="8" style="271" bestFit="1" customWidth="1"/>
    <col min="4872" max="4872" width="18.140625" style="271" bestFit="1" customWidth="1"/>
    <col min="4873" max="4873" width="10.5703125" style="271" bestFit="1" customWidth="1"/>
    <col min="4874" max="5121" width="13.42578125" style="271"/>
    <col min="5122" max="5122" width="10.28515625" style="271" bestFit="1" customWidth="1"/>
    <col min="5123" max="5123" width="16.7109375" style="271" bestFit="1" customWidth="1"/>
    <col min="5124" max="5124" width="17.5703125" style="271" bestFit="1" customWidth="1"/>
    <col min="5125" max="5125" width="12" style="271" bestFit="1" customWidth="1"/>
    <col min="5126" max="5126" width="26" style="271" customWidth="1"/>
    <col min="5127" max="5127" width="8" style="271" bestFit="1" customWidth="1"/>
    <col min="5128" max="5128" width="18.140625" style="271" bestFit="1" customWidth="1"/>
    <col min="5129" max="5129" width="10.5703125" style="271" bestFit="1" customWidth="1"/>
    <col min="5130" max="5377" width="13.42578125" style="271"/>
    <col min="5378" max="5378" width="10.28515625" style="271" bestFit="1" customWidth="1"/>
    <col min="5379" max="5379" width="16.7109375" style="271" bestFit="1" customWidth="1"/>
    <col min="5380" max="5380" width="17.5703125" style="271" bestFit="1" customWidth="1"/>
    <col min="5381" max="5381" width="12" style="271" bestFit="1" customWidth="1"/>
    <col min="5382" max="5382" width="26" style="271" customWidth="1"/>
    <col min="5383" max="5383" width="8" style="271" bestFit="1" customWidth="1"/>
    <col min="5384" max="5384" width="18.140625" style="271" bestFit="1" customWidth="1"/>
    <col min="5385" max="5385" width="10.5703125" style="271" bestFit="1" customWidth="1"/>
    <col min="5386" max="5633" width="13.42578125" style="271"/>
    <col min="5634" max="5634" width="10.28515625" style="271" bestFit="1" customWidth="1"/>
    <col min="5635" max="5635" width="16.7109375" style="271" bestFit="1" customWidth="1"/>
    <col min="5636" max="5636" width="17.5703125" style="271" bestFit="1" customWidth="1"/>
    <col min="5637" max="5637" width="12" style="271" bestFit="1" customWidth="1"/>
    <col min="5638" max="5638" width="26" style="271" customWidth="1"/>
    <col min="5639" max="5639" width="8" style="271" bestFit="1" customWidth="1"/>
    <col min="5640" max="5640" width="18.140625" style="271" bestFit="1" customWidth="1"/>
    <col min="5641" max="5641" width="10.5703125" style="271" bestFit="1" customWidth="1"/>
    <col min="5642" max="5889" width="13.42578125" style="271"/>
    <col min="5890" max="5890" width="10.28515625" style="271" bestFit="1" customWidth="1"/>
    <col min="5891" max="5891" width="16.7109375" style="271" bestFit="1" customWidth="1"/>
    <col min="5892" max="5892" width="17.5703125" style="271" bestFit="1" customWidth="1"/>
    <col min="5893" max="5893" width="12" style="271" bestFit="1" customWidth="1"/>
    <col min="5894" max="5894" width="26" style="271" customWidth="1"/>
    <col min="5895" max="5895" width="8" style="271" bestFit="1" customWidth="1"/>
    <col min="5896" max="5896" width="18.140625" style="271" bestFit="1" customWidth="1"/>
    <col min="5897" max="5897" width="10.5703125" style="271" bestFit="1" customWidth="1"/>
    <col min="5898" max="6145" width="13.42578125" style="271"/>
    <col min="6146" max="6146" width="10.28515625" style="271" bestFit="1" customWidth="1"/>
    <col min="6147" max="6147" width="16.7109375" style="271" bestFit="1" customWidth="1"/>
    <col min="6148" max="6148" width="17.5703125" style="271" bestFit="1" customWidth="1"/>
    <col min="6149" max="6149" width="12" style="271" bestFit="1" customWidth="1"/>
    <col min="6150" max="6150" width="26" style="271" customWidth="1"/>
    <col min="6151" max="6151" width="8" style="271" bestFit="1" customWidth="1"/>
    <col min="6152" max="6152" width="18.140625" style="271" bestFit="1" customWidth="1"/>
    <col min="6153" max="6153" width="10.5703125" style="271" bestFit="1" customWidth="1"/>
    <col min="6154" max="6401" width="13.42578125" style="271"/>
    <col min="6402" max="6402" width="10.28515625" style="271" bestFit="1" customWidth="1"/>
    <col min="6403" max="6403" width="16.7109375" style="271" bestFit="1" customWidth="1"/>
    <col min="6404" max="6404" width="17.5703125" style="271" bestFit="1" customWidth="1"/>
    <col min="6405" max="6405" width="12" style="271" bestFit="1" customWidth="1"/>
    <col min="6406" max="6406" width="26" style="271" customWidth="1"/>
    <col min="6407" max="6407" width="8" style="271" bestFit="1" customWidth="1"/>
    <col min="6408" max="6408" width="18.140625" style="271" bestFit="1" customWidth="1"/>
    <col min="6409" max="6409" width="10.5703125" style="271" bestFit="1" customWidth="1"/>
    <col min="6410" max="6657" width="13.42578125" style="271"/>
    <col min="6658" max="6658" width="10.28515625" style="271" bestFit="1" customWidth="1"/>
    <col min="6659" max="6659" width="16.7109375" style="271" bestFit="1" customWidth="1"/>
    <col min="6660" max="6660" width="17.5703125" style="271" bestFit="1" customWidth="1"/>
    <col min="6661" max="6661" width="12" style="271" bestFit="1" customWidth="1"/>
    <col min="6662" max="6662" width="26" style="271" customWidth="1"/>
    <col min="6663" max="6663" width="8" style="271" bestFit="1" customWidth="1"/>
    <col min="6664" max="6664" width="18.140625" style="271" bestFit="1" customWidth="1"/>
    <col min="6665" max="6665" width="10.5703125" style="271" bestFit="1" customWidth="1"/>
    <col min="6666" max="6913" width="13.42578125" style="271"/>
    <col min="6914" max="6914" width="10.28515625" style="271" bestFit="1" customWidth="1"/>
    <col min="6915" max="6915" width="16.7109375" style="271" bestFit="1" customWidth="1"/>
    <col min="6916" max="6916" width="17.5703125" style="271" bestFit="1" customWidth="1"/>
    <col min="6917" max="6917" width="12" style="271" bestFit="1" customWidth="1"/>
    <col min="6918" max="6918" width="26" style="271" customWidth="1"/>
    <col min="6919" max="6919" width="8" style="271" bestFit="1" customWidth="1"/>
    <col min="6920" max="6920" width="18.140625" style="271" bestFit="1" customWidth="1"/>
    <col min="6921" max="6921" width="10.5703125" style="271" bestFit="1" customWidth="1"/>
    <col min="6922" max="7169" width="13.42578125" style="271"/>
    <col min="7170" max="7170" width="10.28515625" style="271" bestFit="1" customWidth="1"/>
    <col min="7171" max="7171" width="16.7109375" style="271" bestFit="1" customWidth="1"/>
    <col min="7172" max="7172" width="17.5703125" style="271" bestFit="1" customWidth="1"/>
    <col min="7173" max="7173" width="12" style="271" bestFit="1" customWidth="1"/>
    <col min="7174" max="7174" width="26" style="271" customWidth="1"/>
    <col min="7175" max="7175" width="8" style="271" bestFit="1" customWidth="1"/>
    <col min="7176" max="7176" width="18.140625" style="271" bestFit="1" customWidth="1"/>
    <col min="7177" max="7177" width="10.5703125" style="271" bestFit="1" customWidth="1"/>
    <col min="7178" max="7425" width="13.42578125" style="271"/>
    <col min="7426" max="7426" width="10.28515625" style="271" bestFit="1" customWidth="1"/>
    <col min="7427" max="7427" width="16.7109375" style="271" bestFit="1" customWidth="1"/>
    <col min="7428" max="7428" width="17.5703125" style="271" bestFit="1" customWidth="1"/>
    <col min="7429" max="7429" width="12" style="271" bestFit="1" customWidth="1"/>
    <col min="7430" max="7430" width="26" style="271" customWidth="1"/>
    <col min="7431" max="7431" width="8" style="271" bestFit="1" customWidth="1"/>
    <col min="7432" max="7432" width="18.140625" style="271" bestFit="1" customWidth="1"/>
    <col min="7433" max="7433" width="10.5703125" style="271" bestFit="1" customWidth="1"/>
    <col min="7434" max="7681" width="13.42578125" style="271"/>
    <col min="7682" max="7682" width="10.28515625" style="271" bestFit="1" customWidth="1"/>
    <col min="7683" max="7683" width="16.7109375" style="271" bestFit="1" customWidth="1"/>
    <col min="7684" max="7684" width="17.5703125" style="271" bestFit="1" customWidth="1"/>
    <col min="7685" max="7685" width="12" style="271" bestFit="1" customWidth="1"/>
    <col min="7686" max="7686" width="26" style="271" customWidth="1"/>
    <col min="7687" max="7687" width="8" style="271" bestFit="1" customWidth="1"/>
    <col min="7688" max="7688" width="18.140625" style="271" bestFit="1" customWidth="1"/>
    <col min="7689" max="7689" width="10.5703125" style="271" bestFit="1" customWidth="1"/>
    <col min="7690" max="7937" width="13.42578125" style="271"/>
    <col min="7938" max="7938" width="10.28515625" style="271" bestFit="1" customWidth="1"/>
    <col min="7939" max="7939" width="16.7109375" style="271" bestFit="1" customWidth="1"/>
    <col min="7940" max="7940" width="17.5703125" style="271" bestFit="1" customWidth="1"/>
    <col min="7941" max="7941" width="12" style="271" bestFit="1" customWidth="1"/>
    <col min="7942" max="7942" width="26" style="271" customWidth="1"/>
    <col min="7943" max="7943" width="8" style="271" bestFit="1" customWidth="1"/>
    <col min="7944" max="7944" width="18.140625" style="271" bestFit="1" customWidth="1"/>
    <col min="7945" max="7945" width="10.5703125" style="271" bestFit="1" customWidth="1"/>
    <col min="7946" max="8193" width="13.42578125" style="271"/>
    <col min="8194" max="8194" width="10.28515625" style="271" bestFit="1" customWidth="1"/>
    <col min="8195" max="8195" width="16.7109375" style="271" bestFit="1" customWidth="1"/>
    <col min="8196" max="8196" width="17.5703125" style="271" bestFit="1" customWidth="1"/>
    <col min="8197" max="8197" width="12" style="271" bestFit="1" customWidth="1"/>
    <col min="8198" max="8198" width="26" style="271" customWidth="1"/>
    <col min="8199" max="8199" width="8" style="271" bestFit="1" customWidth="1"/>
    <col min="8200" max="8200" width="18.140625" style="271" bestFit="1" customWidth="1"/>
    <col min="8201" max="8201" width="10.5703125" style="271" bestFit="1" customWidth="1"/>
    <col min="8202" max="8449" width="13.42578125" style="271"/>
    <col min="8450" max="8450" width="10.28515625" style="271" bestFit="1" customWidth="1"/>
    <col min="8451" max="8451" width="16.7109375" style="271" bestFit="1" customWidth="1"/>
    <col min="8452" max="8452" width="17.5703125" style="271" bestFit="1" customWidth="1"/>
    <col min="8453" max="8453" width="12" style="271" bestFit="1" customWidth="1"/>
    <col min="8454" max="8454" width="26" style="271" customWidth="1"/>
    <col min="8455" max="8455" width="8" style="271" bestFit="1" customWidth="1"/>
    <col min="8456" max="8456" width="18.140625" style="271" bestFit="1" customWidth="1"/>
    <col min="8457" max="8457" width="10.5703125" style="271" bestFit="1" customWidth="1"/>
    <col min="8458" max="8705" width="13.42578125" style="271"/>
    <col min="8706" max="8706" width="10.28515625" style="271" bestFit="1" customWidth="1"/>
    <col min="8707" max="8707" width="16.7109375" style="271" bestFit="1" customWidth="1"/>
    <col min="8708" max="8708" width="17.5703125" style="271" bestFit="1" customWidth="1"/>
    <col min="8709" max="8709" width="12" style="271" bestFit="1" customWidth="1"/>
    <col min="8710" max="8710" width="26" style="271" customWidth="1"/>
    <col min="8711" max="8711" width="8" style="271" bestFit="1" customWidth="1"/>
    <col min="8712" max="8712" width="18.140625" style="271" bestFit="1" customWidth="1"/>
    <col min="8713" max="8713" width="10.5703125" style="271" bestFit="1" customWidth="1"/>
    <col min="8714" max="8961" width="13.42578125" style="271"/>
    <col min="8962" max="8962" width="10.28515625" style="271" bestFit="1" customWidth="1"/>
    <col min="8963" max="8963" width="16.7109375" style="271" bestFit="1" customWidth="1"/>
    <col min="8964" max="8964" width="17.5703125" style="271" bestFit="1" customWidth="1"/>
    <col min="8965" max="8965" width="12" style="271" bestFit="1" customWidth="1"/>
    <col min="8966" max="8966" width="26" style="271" customWidth="1"/>
    <col min="8967" max="8967" width="8" style="271" bestFit="1" customWidth="1"/>
    <col min="8968" max="8968" width="18.140625" style="271" bestFit="1" customWidth="1"/>
    <col min="8969" max="8969" width="10.5703125" style="271" bestFit="1" customWidth="1"/>
    <col min="8970" max="9217" width="13.42578125" style="271"/>
    <col min="9218" max="9218" width="10.28515625" style="271" bestFit="1" customWidth="1"/>
    <col min="9219" max="9219" width="16.7109375" style="271" bestFit="1" customWidth="1"/>
    <col min="9220" max="9220" width="17.5703125" style="271" bestFit="1" customWidth="1"/>
    <col min="9221" max="9221" width="12" style="271" bestFit="1" customWidth="1"/>
    <col min="9222" max="9222" width="26" style="271" customWidth="1"/>
    <col min="9223" max="9223" width="8" style="271" bestFit="1" customWidth="1"/>
    <col min="9224" max="9224" width="18.140625" style="271" bestFit="1" customWidth="1"/>
    <col min="9225" max="9225" width="10.5703125" style="271" bestFit="1" customWidth="1"/>
    <col min="9226" max="9473" width="13.42578125" style="271"/>
    <col min="9474" max="9474" width="10.28515625" style="271" bestFit="1" customWidth="1"/>
    <col min="9475" max="9475" width="16.7109375" style="271" bestFit="1" customWidth="1"/>
    <col min="9476" max="9476" width="17.5703125" style="271" bestFit="1" customWidth="1"/>
    <col min="9477" max="9477" width="12" style="271" bestFit="1" customWidth="1"/>
    <col min="9478" max="9478" width="26" style="271" customWidth="1"/>
    <col min="9479" max="9479" width="8" style="271" bestFit="1" customWidth="1"/>
    <col min="9480" max="9480" width="18.140625" style="271" bestFit="1" customWidth="1"/>
    <col min="9481" max="9481" width="10.5703125" style="271" bestFit="1" customWidth="1"/>
    <col min="9482" max="9729" width="13.42578125" style="271"/>
    <col min="9730" max="9730" width="10.28515625" style="271" bestFit="1" customWidth="1"/>
    <col min="9731" max="9731" width="16.7109375" style="271" bestFit="1" customWidth="1"/>
    <col min="9732" max="9732" width="17.5703125" style="271" bestFit="1" customWidth="1"/>
    <col min="9733" max="9733" width="12" style="271" bestFit="1" customWidth="1"/>
    <col min="9734" max="9734" width="26" style="271" customWidth="1"/>
    <col min="9735" max="9735" width="8" style="271" bestFit="1" customWidth="1"/>
    <col min="9736" max="9736" width="18.140625" style="271" bestFit="1" customWidth="1"/>
    <col min="9737" max="9737" width="10.5703125" style="271" bestFit="1" customWidth="1"/>
    <col min="9738" max="9985" width="13.42578125" style="271"/>
    <col min="9986" max="9986" width="10.28515625" style="271" bestFit="1" customWidth="1"/>
    <col min="9987" max="9987" width="16.7109375" style="271" bestFit="1" customWidth="1"/>
    <col min="9988" max="9988" width="17.5703125" style="271" bestFit="1" customWidth="1"/>
    <col min="9989" max="9989" width="12" style="271" bestFit="1" customWidth="1"/>
    <col min="9990" max="9990" width="26" style="271" customWidth="1"/>
    <col min="9991" max="9991" width="8" style="271" bestFit="1" customWidth="1"/>
    <col min="9992" max="9992" width="18.140625" style="271" bestFit="1" customWidth="1"/>
    <col min="9993" max="9993" width="10.5703125" style="271" bestFit="1" customWidth="1"/>
    <col min="9994" max="10241" width="13.42578125" style="271"/>
    <col min="10242" max="10242" width="10.28515625" style="271" bestFit="1" customWidth="1"/>
    <col min="10243" max="10243" width="16.7109375" style="271" bestFit="1" customWidth="1"/>
    <col min="10244" max="10244" width="17.5703125" style="271" bestFit="1" customWidth="1"/>
    <col min="10245" max="10245" width="12" style="271" bestFit="1" customWidth="1"/>
    <col min="10246" max="10246" width="26" style="271" customWidth="1"/>
    <col min="10247" max="10247" width="8" style="271" bestFit="1" customWidth="1"/>
    <col min="10248" max="10248" width="18.140625" style="271" bestFit="1" customWidth="1"/>
    <col min="10249" max="10249" width="10.5703125" style="271" bestFit="1" customWidth="1"/>
    <col min="10250" max="10497" width="13.42578125" style="271"/>
    <col min="10498" max="10498" width="10.28515625" style="271" bestFit="1" customWidth="1"/>
    <col min="10499" max="10499" width="16.7109375" style="271" bestFit="1" customWidth="1"/>
    <col min="10500" max="10500" width="17.5703125" style="271" bestFit="1" customWidth="1"/>
    <col min="10501" max="10501" width="12" style="271" bestFit="1" customWidth="1"/>
    <col min="10502" max="10502" width="26" style="271" customWidth="1"/>
    <col min="10503" max="10503" width="8" style="271" bestFit="1" customWidth="1"/>
    <col min="10504" max="10504" width="18.140625" style="271" bestFit="1" customWidth="1"/>
    <col min="10505" max="10505" width="10.5703125" style="271" bestFit="1" customWidth="1"/>
    <col min="10506" max="10753" width="13.42578125" style="271"/>
    <col min="10754" max="10754" width="10.28515625" style="271" bestFit="1" customWidth="1"/>
    <col min="10755" max="10755" width="16.7109375" style="271" bestFit="1" customWidth="1"/>
    <col min="10756" max="10756" width="17.5703125" style="271" bestFit="1" customWidth="1"/>
    <col min="10757" max="10757" width="12" style="271" bestFit="1" customWidth="1"/>
    <col min="10758" max="10758" width="26" style="271" customWidth="1"/>
    <col min="10759" max="10759" width="8" style="271" bestFit="1" customWidth="1"/>
    <col min="10760" max="10760" width="18.140625" style="271" bestFit="1" customWidth="1"/>
    <col min="10761" max="10761" width="10.5703125" style="271" bestFit="1" customWidth="1"/>
    <col min="10762" max="11009" width="13.42578125" style="271"/>
    <col min="11010" max="11010" width="10.28515625" style="271" bestFit="1" customWidth="1"/>
    <col min="11011" max="11011" width="16.7109375" style="271" bestFit="1" customWidth="1"/>
    <col min="11012" max="11012" width="17.5703125" style="271" bestFit="1" customWidth="1"/>
    <col min="11013" max="11013" width="12" style="271" bestFit="1" customWidth="1"/>
    <col min="11014" max="11014" width="26" style="271" customWidth="1"/>
    <col min="11015" max="11015" width="8" style="271" bestFit="1" customWidth="1"/>
    <col min="11016" max="11016" width="18.140625" style="271" bestFit="1" customWidth="1"/>
    <col min="11017" max="11017" width="10.5703125" style="271" bestFit="1" customWidth="1"/>
    <col min="11018" max="11265" width="13.42578125" style="271"/>
    <col min="11266" max="11266" width="10.28515625" style="271" bestFit="1" customWidth="1"/>
    <col min="11267" max="11267" width="16.7109375" style="271" bestFit="1" customWidth="1"/>
    <col min="11268" max="11268" width="17.5703125" style="271" bestFit="1" customWidth="1"/>
    <col min="11269" max="11269" width="12" style="271" bestFit="1" customWidth="1"/>
    <col min="11270" max="11270" width="26" style="271" customWidth="1"/>
    <col min="11271" max="11271" width="8" style="271" bestFit="1" customWidth="1"/>
    <col min="11272" max="11272" width="18.140625" style="271" bestFit="1" customWidth="1"/>
    <col min="11273" max="11273" width="10.5703125" style="271" bestFit="1" customWidth="1"/>
    <col min="11274" max="11521" width="13.42578125" style="271"/>
    <col min="11522" max="11522" width="10.28515625" style="271" bestFit="1" customWidth="1"/>
    <col min="11523" max="11523" width="16.7109375" style="271" bestFit="1" customWidth="1"/>
    <col min="11524" max="11524" width="17.5703125" style="271" bestFit="1" customWidth="1"/>
    <col min="11525" max="11525" width="12" style="271" bestFit="1" customWidth="1"/>
    <col min="11526" max="11526" width="26" style="271" customWidth="1"/>
    <col min="11527" max="11527" width="8" style="271" bestFit="1" customWidth="1"/>
    <col min="11528" max="11528" width="18.140625" style="271" bestFit="1" customWidth="1"/>
    <col min="11529" max="11529" width="10.5703125" style="271" bestFit="1" customWidth="1"/>
    <col min="11530" max="11777" width="13.42578125" style="271"/>
    <col min="11778" max="11778" width="10.28515625" style="271" bestFit="1" customWidth="1"/>
    <col min="11779" max="11779" width="16.7109375" style="271" bestFit="1" customWidth="1"/>
    <col min="11780" max="11780" width="17.5703125" style="271" bestFit="1" customWidth="1"/>
    <col min="11781" max="11781" width="12" style="271" bestFit="1" customWidth="1"/>
    <col min="11782" max="11782" width="26" style="271" customWidth="1"/>
    <col min="11783" max="11783" width="8" style="271" bestFit="1" customWidth="1"/>
    <col min="11784" max="11784" width="18.140625" style="271" bestFit="1" customWidth="1"/>
    <col min="11785" max="11785" width="10.5703125" style="271" bestFit="1" customWidth="1"/>
    <col min="11786" max="12033" width="13.42578125" style="271"/>
    <col min="12034" max="12034" width="10.28515625" style="271" bestFit="1" customWidth="1"/>
    <col min="12035" max="12035" width="16.7109375" style="271" bestFit="1" customWidth="1"/>
    <col min="12036" max="12036" width="17.5703125" style="271" bestFit="1" customWidth="1"/>
    <col min="12037" max="12037" width="12" style="271" bestFit="1" customWidth="1"/>
    <col min="12038" max="12038" width="26" style="271" customWidth="1"/>
    <col min="12039" max="12039" width="8" style="271" bestFit="1" customWidth="1"/>
    <col min="12040" max="12040" width="18.140625" style="271" bestFit="1" customWidth="1"/>
    <col min="12041" max="12041" width="10.5703125" style="271" bestFit="1" customWidth="1"/>
    <col min="12042" max="12289" width="13.42578125" style="271"/>
    <col min="12290" max="12290" width="10.28515625" style="271" bestFit="1" customWidth="1"/>
    <col min="12291" max="12291" width="16.7109375" style="271" bestFit="1" customWidth="1"/>
    <col min="12292" max="12292" width="17.5703125" style="271" bestFit="1" customWidth="1"/>
    <col min="12293" max="12293" width="12" style="271" bestFit="1" customWidth="1"/>
    <col min="12294" max="12294" width="26" style="271" customWidth="1"/>
    <col min="12295" max="12295" width="8" style="271" bestFit="1" customWidth="1"/>
    <col min="12296" max="12296" width="18.140625" style="271" bestFit="1" customWidth="1"/>
    <col min="12297" max="12297" width="10.5703125" style="271" bestFit="1" customWidth="1"/>
    <col min="12298" max="12545" width="13.42578125" style="271"/>
    <col min="12546" max="12546" width="10.28515625" style="271" bestFit="1" customWidth="1"/>
    <col min="12547" max="12547" width="16.7109375" style="271" bestFit="1" customWidth="1"/>
    <col min="12548" max="12548" width="17.5703125" style="271" bestFit="1" customWidth="1"/>
    <col min="12549" max="12549" width="12" style="271" bestFit="1" customWidth="1"/>
    <col min="12550" max="12550" width="26" style="271" customWidth="1"/>
    <col min="12551" max="12551" width="8" style="271" bestFit="1" customWidth="1"/>
    <col min="12552" max="12552" width="18.140625" style="271" bestFit="1" customWidth="1"/>
    <col min="12553" max="12553" width="10.5703125" style="271" bestFit="1" customWidth="1"/>
    <col min="12554" max="12801" width="13.42578125" style="271"/>
    <col min="12802" max="12802" width="10.28515625" style="271" bestFit="1" customWidth="1"/>
    <col min="12803" max="12803" width="16.7109375" style="271" bestFit="1" customWidth="1"/>
    <col min="12804" max="12804" width="17.5703125" style="271" bestFit="1" customWidth="1"/>
    <col min="12805" max="12805" width="12" style="271" bestFit="1" customWidth="1"/>
    <col min="12806" max="12806" width="26" style="271" customWidth="1"/>
    <col min="12807" max="12807" width="8" style="271" bestFit="1" customWidth="1"/>
    <col min="12808" max="12808" width="18.140625" style="271" bestFit="1" customWidth="1"/>
    <col min="12809" max="12809" width="10.5703125" style="271" bestFit="1" customWidth="1"/>
    <col min="12810" max="13057" width="13.42578125" style="271"/>
    <col min="13058" max="13058" width="10.28515625" style="271" bestFit="1" customWidth="1"/>
    <col min="13059" max="13059" width="16.7109375" style="271" bestFit="1" customWidth="1"/>
    <col min="13060" max="13060" width="17.5703125" style="271" bestFit="1" customWidth="1"/>
    <col min="13061" max="13061" width="12" style="271" bestFit="1" customWidth="1"/>
    <col min="13062" max="13062" width="26" style="271" customWidth="1"/>
    <col min="13063" max="13063" width="8" style="271" bestFit="1" customWidth="1"/>
    <col min="13064" max="13064" width="18.140625" style="271" bestFit="1" customWidth="1"/>
    <col min="13065" max="13065" width="10.5703125" style="271" bestFit="1" customWidth="1"/>
    <col min="13066" max="13313" width="13.42578125" style="271"/>
    <col min="13314" max="13314" width="10.28515625" style="271" bestFit="1" customWidth="1"/>
    <col min="13315" max="13315" width="16.7109375" style="271" bestFit="1" customWidth="1"/>
    <col min="13316" max="13316" width="17.5703125" style="271" bestFit="1" customWidth="1"/>
    <col min="13317" max="13317" width="12" style="271" bestFit="1" customWidth="1"/>
    <col min="13318" max="13318" width="26" style="271" customWidth="1"/>
    <col min="13319" max="13319" width="8" style="271" bestFit="1" customWidth="1"/>
    <col min="13320" max="13320" width="18.140625" style="271" bestFit="1" customWidth="1"/>
    <col min="13321" max="13321" width="10.5703125" style="271" bestFit="1" customWidth="1"/>
    <col min="13322" max="13569" width="13.42578125" style="271"/>
    <col min="13570" max="13570" width="10.28515625" style="271" bestFit="1" customWidth="1"/>
    <col min="13571" max="13571" width="16.7109375" style="271" bestFit="1" customWidth="1"/>
    <col min="13572" max="13572" width="17.5703125" style="271" bestFit="1" customWidth="1"/>
    <col min="13573" max="13573" width="12" style="271" bestFit="1" customWidth="1"/>
    <col min="13574" max="13574" width="26" style="271" customWidth="1"/>
    <col min="13575" max="13575" width="8" style="271" bestFit="1" customWidth="1"/>
    <col min="13576" max="13576" width="18.140625" style="271" bestFit="1" customWidth="1"/>
    <col min="13577" max="13577" width="10.5703125" style="271" bestFit="1" customWidth="1"/>
    <col min="13578" max="13825" width="13.42578125" style="271"/>
    <col min="13826" max="13826" width="10.28515625" style="271" bestFit="1" customWidth="1"/>
    <col min="13827" max="13827" width="16.7109375" style="271" bestFit="1" customWidth="1"/>
    <col min="13828" max="13828" width="17.5703125" style="271" bestFit="1" customWidth="1"/>
    <col min="13829" max="13829" width="12" style="271" bestFit="1" customWidth="1"/>
    <col min="13830" max="13830" width="26" style="271" customWidth="1"/>
    <col min="13831" max="13831" width="8" style="271" bestFit="1" customWidth="1"/>
    <col min="13832" max="13832" width="18.140625" style="271" bestFit="1" customWidth="1"/>
    <col min="13833" max="13833" width="10.5703125" style="271" bestFit="1" customWidth="1"/>
    <col min="13834" max="14081" width="13.42578125" style="271"/>
    <col min="14082" max="14082" width="10.28515625" style="271" bestFit="1" customWidth="1"/>
    <col min="14083" max="14083" width="16.7109375" style="271" bestFit="1" customWidth="1"/>
    <col min="14084" max="14084" width="17.5703125" style="271" bestFit="1" customWidth="1"/>
    <col min="14085" max="14085" width="12" style="271" bestFit="1" customWidth="1"/>
    <col min="14086" max="14086" width="26" style="271" customWidth="1"/>
    <col min="14087" max="14087" width="8" style="271" bestFit="1" customWidth="1"/>
    <col min="14088" max="14088" width="18.140625" style="271" bestFit="1" customWidth="1"/>
    <col min="14089" max="14089" width="10.5703125" style="271" bestFit="1" customWidth="1"/>
    <col min="14090" max="14337" width="13.42578125" style="271"/>
    <col min="14338" max="14338" width="10.28515625" style="271" bestFit="1" customWidth="1"/>
    <col min="14339" max="14339" width="16.7109375" style="271" bestFit="1" customWidth="1"/>
    <col min="14340" max="14340" width="17.5703125" style="271" bestFit="1" customWidth="1"/>
    <col min="14341" max="14341" width="12" style="271" bestFit="1" customWidth="1"/>
    <col min="14342" max="14342" width="26" style="271" customWidth="1"/>
    <col min="14343" max="14343" width="8" style="271" bestFit="1" customWidth="1"/>
    <col min="14344" max="14344" width="18.140625" style="271" bestFit="1" customWidth="1"/>
    <col min="14345" max="14345" width="10.5703125" style="271" bestFit="1" customWidth="1"/>
    <col min="14346" max="14593" width="13.42578125" style="271"/>
    <col min="14594" max="14594" width="10.28515625" style="271" bestFit="1" customWidth="1"/>
    <col min="14595" max="14595" width="16.7109375" style="271" bestFit="1" customWidth="1"/>
    <col min="14596" max="14596" width="17.5703125" style="271" bestFit="1" customWidth="1"/>
    <col min="14597" max="14597" width="12" style="271" bestFit="1" customWidth="1"/>
    <col min="14598" max="14598" width="26" style="271" customWidth="1"/>
    <col min="14599" max="14599" width="8" style="271" bestFit="1" customWidth="1"/>
    <col min="14600" max="14600" width="18.140625" style="271" bestFit="1" customWidth="1"/>
    <col min="14601" max="14601" width="10.5703125" style="271" bestFit="1" customWidth="1"/>
    <col min="14602" max="14849" width="13.42578125" style="271"/>
    <col min="14850" max="14850" width="10.28515625" style="271" bestFit="1" customWidth="1"/>
    <col min="14851" max="14851" width="16.7109375" style="271" bestFit="1" customWidth="1"/>
    <col min="14852" max="14852" width="17.5703125" style="271" bestFit="1" customWidth="1"/>
    <col min="14853" max="14853" width="12" style="271" bestFit="1" customWidth="1"/>
    <col min="14854" max="14854" width="26" style="271" customWidth="1"/>
    <col min="14855" max="14855" width="8" style="271" bestFit="1" customWidth="1"/>
    <col min="14856" max="14856" width="18.140625" style="271" bestFit="1" customWidth="1"/>
    <col min="14857" max="14857" width="10.5703125" style="271" bestFit="1" customWidth="1"/>
    <col min="14858" max="15105" width="13.42578125" style="271"/>
    <col min="15106" max="15106" width="10.28515625" style="271" bestFit="1" customWidth="1"/>
    <col min="15107" max="15107" width="16.7109375" style="271" bestFit="1" customWidth="1"/>
    <col min="15108" max="15108" width="17.5703125" style="271" bestFit="1" customWidth="1"/>
    <col min="15109" max="15109" width="12" style="271" bestFit="1" customWidth="1"/>
    <col min="15110" max="15110" width="26" style="271" customWidth="1"/>
    <col min="15111" max="15111" width="8" style="271" bestFit="1" customWidth="1"/>
    <col min="15112" max="15112" width="18.140625" style="271" bestFit="1" customWidth="1"/>
    <col min="15113" max="15113" width="10.5703125" style="271" bestFit="1" customWidth="1"/>
    <col min="15114" max="15361" width="13.42578125" style="271"/>
    <col min="15362" max="15362" width="10.28515625" style="271" bestFit="1" customWidth="1"/>
    <col min="15363" max="15363" width="16.7109375" style="271" bestFit="1" customWidth="1"/>
    <col min="15364" max="15364" width="17.5703125" style="271" bestFit="1" customWidth="1"/>
    <col min="15365" max="15365" width="12" style="271" bestFit="1" customWidth="1"/>
    <col min="15366" max="15366" width="26" style="271" customWidth="1"/>
    <col min="15367" max="15367" width="8" style="271" bestFit="1" customWidth="1"/>
    <col min="15368" max="15368" width="18.140625" style="271" bestFit="1" customWidth="1"/>
    <col min="15369" max="15369" width="10.5703125" style="271" bestFit="1" customWidth="1"/>
    <col min="15370" max="15617" width="13.42578125" style="271"/>
    <col min="15618" max="15618" width="10.28515625" style="271" bestFit="1" customWidth="1"/>
    <col min="15619" max="15619" width="16.7109375" style="271" bestFit="1" customWidth="1"/>
    <col min="15620" max="15620" width="17.5703125" style="271" bestFit="1" customWidth="1"/>
    <col min="15621" max="15621" width="12" style="271" bestFit="1" customWidth="1"/>
    <col min="15622" max="15622" width="26" style="271" customWidth="1"/>
    <col min="15623" max="15623" width="8" style="271" bestFit="1" customWidth="1"/>
    <col min="15624" max="15624" width="18.140625" style="271" bestFit="1" customWidth="1"/>
    <col min="15625" max="15625" width="10.5703125" style="271" bestFit="1" customWidth="1"/>
    <col min="15626" max="15873" width="13.42578125" style="271"/>
    <col min="15874" max="15874" width="10.28515625" style="271" bestFit="1" customWidth="1"/>
    <col min="15875" max="15875" width="16.7109375" style="271" bestFit="1" customWidth="1"/>
    <col min="15876" max="15876" width="17.5703125" style="271" bestFit="1" customWidth="1"/>
    <col min="15877" max="15877" width="12" style="271" bestFit="1" customWidth="1"/>
    <col min="15878" max="15878" width="26" style="271" customWidth="1"/>
    <col min="15879" max="15879" width="8" style="271" bestFit="1" customWidth="1"/>
    <col min="15880" max="15880" width="18.140625" style="271" bestFit="1" customWidth="1"/>
    <col min="15881" max="15881" width="10.5703125" style="271" bestFit="1" customWidth="1"/>
    <col min="15882" max="16129" width="13.42578125" style="271"/>
    <col min="16130" max="16130" width="10.28515625" style="271" bestFit="1" customWidth="1"/>
    <col min="16131" max="16131" width="16.7109375" style="271" bestFit="1" customWidth="1"/>
    <col min="16132" max="16132" width="17.5703125" style="271" bestFit="1" customWidth="1"/>
    <col min="16133" max="16133" width="12" style="271" bestFit="1" customWidth="1"/>
    <col min="16134" max="16134" width="26" style="271" customWidth="1"/>
    <col min="16135" max="16135" width="8" style="271" bestFit="1" customWidth="1"/>
    <col min="16136" max="16136" width="18.140625" style="271" bestFit="1" customWidth="1"/>
    <col min="16137" max="16137" width="10.5703125" style="271" bestFit="1" customWidth="1"/>
    <col min="16138" max="16384" width="13.42578125" style="271"/>
  </cols>
  <sheetData>
    <row r="1" spans="1:14" s="262" customFormat="1" x14ac:dyDescent="0.2">
      <c r="A1" s="260" t="s">
        <v>293</v>
      </c>
      <c r="B1" s="261" t="s">
        <v>294</v>
      </c>
      <c r="C1" s="261" t="s">
        <v>295</v>
      </c>
      <c r="D1" s="261" t="s">
        <v>296</v>
      </c>
      <c r="E1" s="261" t="s">
        <v>297</v>
      </c>
      <c r="F1" s="261" t="s">
        <v>298</v>
      </c>
      <c r="G1" s="261" t="s">
        <v>811</v>
      </c>
      <c r="H1" s="262" t="s">
        <v>299</v>
      </c>
      <c r="I1" s="262" t="s">
        <v>300</v>
      </c>
      <c r="J1" s="273" t="s">
        <v>291</v>
      </c>
      <c r="K1" s="273" t="s">
        <v>314</v>
      </c>
      <c r="L1" s="324" t="s">
        <v>313</v>
      </c>
      <c r="M1" s="273" t="s">
        <v>315</v>
      </c>
      <c r="N1" s="273" t="s">
        <v>332</v>
      </c>
    </row>
    <row r="2" spans="1:14" s="266" customFormat="1" x14ac:dyDescent="0.2">
      <c r="A2" s="263" t="s">
        <v>301</v>
      </c>
      <c r="B2" s="264" t="s">
        <v>301</v>
      </c>
      <c r="C2" s="264" t="s">
        <v>301</v>
      </c>
      <c r="D2" s="264" t="s">
        <v>301</v>
      </c>
      <c r="E2" s="264" t="s">
        <v>301</v>
      </c>
      <c r="F2" s="264" t="s">
        <v>301</v>
      </c>
      <c r="G2" s="264"/>
      <c r="H2" s="265"/>
      <c r="I2" s="265"/>
      <c r="J2" s="274"/>
      <c r="K2" s="274"/>
      <c r="L2" s="325"/>
      <c r="M2" s="274"/>
      <c r="N2" s="274"/>
    </row>
    <row r="3" spans="1:14" s="269" customFormat="1" ht="102" thickBot="1" x14ac:dyDescent="0.25">
      <c r="A3" s="267" t="s">
        <v>302</v>
      </c>
      <c r="B3" s="268" t="s">
        <v>303</v>
      </c>
      <c r="C3" s="268" t="s">
        <v>304</v>
      </c>
      <c r="D3" s="268" t="s">
        <v>305</v>
      </c>
      <c r="E3" s="268" t="s">
        <v>306</v>
      </c>
      <c r="F3" s="268" t="s">
        <v>307</v>
      </c>
      <c r="G3" s="268"/>
      <c r="H3" s="269" t="s">
        <v>308</v>
      </c>
      <c r="I3" s="269" t="s">
        <v>309</v>
      </c>
      <c r="J3" s="275"/>
      <c r="K3" s="275"/>
      <c r="L3" s="326"/>
      <c r="M3" s="275"/>
      <c r="N3" s="275"/>
    </row>
    <row r="5" spans="1:14" x14ac:dyDescent="0.2">
      <c r="A5" s="270" t="s">
        <v>249</v>
      </c>
      <c r="B5" s="270" t="s">
        <v>310</v>
      </c>
      <c r="C5" s="270" t="s">
        <v>311</v>
      </c>
      <c r="D5" s="696" t="str">
        <f>CONCATENATE("100-000-",K5,"-",L5,"-",M5,"-",N5)</f>
        <v>100-000-0000-1110-000-00-05</v>
      </c>
      <c r="E5" s="272" t="s">
        <v>148</v>
      </c>
      <c r="F5" s="696">
        <f>IFERROR(G5,0)</f>
        <v>475578.57473280001</v>
      </c>
      <c r="G5" s="696">
        <f>VLOOKUP(L5,'Function-Grant'!$C:$AM,3,'Function-Grant'!$C:$AM)</f>
        <v>475578.57473280001</v>
      </c>
      <c r="H5" s="271" t="s">
        <v>311</v>
      </c>
      <c r="J5" s="276" t="s">
        <v>258</v>
      </c>
      <c r="K5" s="697" t="str">
        <f t="shared" ref="K5:K68" si="0">LEFT(J5,4)</f>
        <v>0000</v>
      </c>
      <c r="L5" s="327">
        <v>1110</v>
      </c>
      <c r="M5" s="697" t="str">
        <f t="shared" ref="M5:M68" si="1">RIGHT(J5,3)</f>
        <v>000</v>
      </c>
      <c r="N5" s="276" t="s">
        <v>812</v>
      </c>
    </row>
    <row r="6" spans="1:14" x14ac:dyDescent="0.2">
      <c r="A6" s="270" t="s">
        <v>249</v>
      </c>
      <c r="B6" s="270" t="s">
        <v>310</v>
      </c>
      <c r="C6" s="270" t="s">
        <v>311</v>
      </c>
      <c r="D6" s="696" t="str">
        <f t="shared" ref="D6:D16" si="2">CONCATENATE("100-000-",K6,"-",L6,"-",M6,"-",N6)</f>
        <v>100-000-0000-1120-000-00-05</v>
      </c>
      <c r="E6" s="272" t="s">
        <v>148</v>
      </c>
      <c r="F6" s="696">
        <f t="shared" ref="F6:F71" si="3">IFERROR(G6,0)</f>
        <v>522415.85860799992</v>
      </c>
      <c r="G6" s="696">
        <f>VLOOKUP(L6,'Function-Grant'!$C:$AM,3,'Function-Grant'!$C:$AM)</f>
        <v>522415.85860799992</v>
      </c>
      <c r="H6" s="271" t="s">
        <v>311</v>
      </c>
      <c r="J6" s="276" t="s">
        <v>258</v>
      </c>
      <c r="K6" s="697" t="str">
        <f t="shared" si="0"/>
        <v>0000</v>
      </c>
      <c r="L6" s="327">
        <v>1120</v>
      </c>
      <c r="M6" s="697" t="str">
        <f t="shared" si="1"/>
        <v>000</v>
      </c>
      <c r="N6" s="276" t="s">
        <v>812</v>
      </c>
    </row>
    <row r="7" spans="1:14" x14ac:dyDescent="0.2">
      <c r="A7" s="270" t="s">
        <v>249</v>
      </c>
      <c r="B7" s="270" t="s">
        <v>310</v>
      </c>
      <c r="C7" s="270" t="s">
        <v>311</v>
      </c>
      <c r="D7" s="696" t="str">
        <f t="shared" si="2"/>
        <v>100-000-0000-1191-000-00-05</v>
      </c>
      <c r="E7" s="272" t="s">
        <v>148</v>
      </c>
      <c r="F7" s="696">
        <f t="shared" si="3"/>
        <v>1801.4339951999998</v>
      </c>
      <c r="G7" s="696">
        <f>VLOOKUP(L7,'Function-Grant'!$C:$AM,3,'Function-Grant'!$C:$AM)</f>
        <v>1801.4339951999998</v>
      </c>
      <c r="H7" s="271" t="s">
        <v>311</v>
      </c>
      <c r="J7" s="276" t="s">
        <v>258</v>
      </c>
      <c r="K7" s="697" t="str">
        <f t="shared" si="0"/>
        <v>0000</v>
      </c>
      <c r="L7" s="327">
        <v>1191</v>
      </c>
      <c r="M7" s="697" t="str">
        <f t="shared" si="1"/>
        <v>000</v>
      </c>
      <c r="N7" s="276" t="s">
        <v>812</v>
      </c>
    </row>
    <row r="8" spans="1:14" x14ac:dyDescent="0.2">
      <c r="A8" s="270" t="s">
        <v>249</v>
      </c>
      <c r="B8" s="270" t="s">
        <v>310</v>
      </c>
      <c r="C8" s="270" t="s">
        <v>311</v>
      </c>
      <c r="D8" s="696" t="str">
        <f t="shared" si="2"/>
        <v>100-000-0000-1192-000-00-05</v>
      </c>
      <c r="E8" s="272" t="s">
        <v>148</v>
      </c>
      <c r="F8" s="696">
        <f t="shared" si="3"/>
        <v>55844.453851200007</v>
      </c>
      <c r="G8" s="696">
        <f>VLOOKUP(L8,'Function-Grant'!$C:$AM,3,'Function-Grant'!$C:$AM)</f>
        <v>55844.453851200007</v>
      </c>
      <c r="H8" s="271" t="s">
        <v>311</v>
      </c>
      <c r="J8" s="276" t="s">
        <v>258</v>
      </c>
      <c r="K8" s="697" t="str">
        <f t="shared" si="0"/>
        <v>0000</v>
      </c>
      <c r="L8" s="327">
        <v>1192</v>
      </c>
      <c r="M8" s="697" t="str">
        <f t="shared" si="1"/>
        <v>000</v>
      </c>
      <c r="N8" s="276" t="s">
        <v>812</v>
      </c>
    </row>
    <row r="9" spans="1:14" x14ac:dyDescent="0.2">
      <c r="A9" s="270" t="s">
        <v>249</v>
      </c>
      <c r="B9" s="270" t="s">
        <v>310</v>
      </c>
      <c r="C9" s="270" t="s">
        <v>311</v>
      </c>
      <c r="D9" s="696" t="str">
        <f t="shared" si="2"/>
        <v>100-000-0000-1790-000-00-05</v>
      </c>
      <c r="E9" s="272" t="s">
        <v>148</v>
      </c>
      <c r="F9" s="696">
        <f t="shared" si="3"/>
        <v>358560</v>
      </c>
      <c r="G9" s="696">
        <f>VLOOKUP(L9,'Function-Grant'!$C:$AM,3,'Function-Grant'!$C:$AM)</f>
        <v>358560</v>
      </c>
      <c r="H9" s="271" t="s">
        <v>311</v>
      </c>
      <c r="J9" s="276" t="s">
        <v>258</v>
      </c>
      <c r="K9" s="697" t="str">
        <f t="shared" si="0"/>
        <v>0000</v>
      </c>
      <c r="L9" s="327">
        <v>1790</v>
      </c>
      <c r="M9" s="697" t="str">
        <f t="shared" si="1"/>
        <v>000</v>
      </c>
      <c r="N9" s="276" t="s">
        <v>812</v>
      </c>
    </row>
    <row r="10" spans="1:14" x14ac:dyDescent="0.2">
      <c r="A10" s="270" t="s">
        <v>249</v>
      </c>
      <c r="B10" s="270" t="s">
        <v>310</v>
      </c>
      <c r="C10" s="270" t="s">
        <v>311</v>
      </c>
      <c r="D10" s="696" t="str">
        <f t="shared" si="2"/>
        <v>100-000-0000-3110-000-00-05</v>
      </c>
      <c r="E10" s="272" t="s">
        <v>148</v>
      </c>
      <c r="F10" s="696">
        <f t="shared" si="3"/>
        <v>745793.67401279975</v>
      </c>
      <c r="G10" s="696">
        <f>VLOOKUP(L10,'Function-Grant'!$C:$AM,3,'Function-Grant'!$C:$AM)</f>
        <v>745793.67401279975</v>
      </c>
      <c r="H10" s="271" t="s">
        <v>311</v>
      </c>
      <c r="J10" s="276" t="s">
        <v>258</v>
      </c>
      <c r="K10" s="697" t="str">
        <f t="shared" si="0"/>
        <v>0000</v>
      </c>
      <c r="L10" s="327">
        <v>3110</v>
      </c>
      <c r="M10" s="697" t="str">
        <f t="shared" si="1"/>
        <v>000</v>
      </c>
      <c r="N10" s="276" t="s">
        <v>812</v>
      </c>
    </row>
    <row r="11" spans="1:14" x14ac:dyDescent="0.2">
      <c r="A11" s="270" t="s">
        <v>249</v>
      </c>
      <c r="B11" s="270" t="s">
        <v>310</v>
      </c>
      <c r="C11" s="270" t="s">
        <v>311</v>
      </c>
      <c r="D11" s="696" t="str">
        <f t="shared" si="2"/>
        <v>100-000-0000-3115-000-00-05</v>
      </c>
      <c r="E11" s="272" t="s">
        <v>148</v>
      </c>
      <c r="F11" s="696">
        <f t="shared" si="3"/>
        <v>0</v>
      </c>
      <c r="G11" s="696">
        <f>VLOOKUP(L11,'Function-Grant'!$C:$AM,3,'Function-Grant'!$C:$AM)</f>
        <v>0</v>
      </c>
      <c r="H11" s="271" t="s">
        <v>311</v>
      </c>
      <c r="J11" s="276" t="s">
        <v>258</v>
      </c>
      <c r="K11" s="697" t="str">
        <f t="shared" si="0"/>
        <v>0000</v>
      </c>
      <c r="L11" s="327">
        <v>3115</v>
      </c>
      <c r="M11" s="697" t="str">
        <f t="shared" si="1"/>
        <v>000</v>
      </c>
      <c r="N11" s="276" t="s">
        <v>812</v>
      </c>
    </row>
    <row r="12" spans="1:14" x14ac:dyDescent="0.2">
      <c r="A12" s="270" t="s">
        <v>249</v>
      </c>
      <c r="B12" s="270" t="s">
        <v>310</v>
      </c>
      <c r="C12" s="270" t="s">
        <v>311</v>
      </c>
      <c r="D12" s="696" t="str">
        <f t="shared" si="2"/>
        <v>100-000-0000-3200-000-00-05</v>
      </c>
      <c r="E12" s="272" t="s">
        <v>148</v>
      </c>
      <c r="F12" s="696">
        <f t="shared" si="3"/>
        <v>0</v>
      </c>
      <c r="G12" s="696">
        <f>VLOOKUP(L12,'Function-Grant'!$C:$AM,3,'Function-Grant'!$C:$AM)</f>
        <v>0</v>
      </c>
      <c r="H12" s="271" t="s">
        <v>311</v>
      </c>
      <c r="J12" s="276" t="s">
        <v>258</v>
      </c>
      <c r="K12" s="697" t="str">
        <f t="shared" si="0"/>
        <v>0000</v>
      </c>
      <c r="L12" s="327">
        <v>3200</v>
      </c>
      <c r="M12" s="697" t="str">
        <f t="shared" si="1"/>
        <v>000</v>
      </c>
      <c r="N12" s="276" t="s">
        <v>812</v>
      </c>
    </row>
    <row r="13" spans="1:14" x14ac:dyDescent="0.2">
      <c r="A13" s="270" t="s">
        <v>249</v>
      </c>
      <c r="B13" s="270" t="s">
        <v>310</v>
      </c>
      <c r="C13" s="270" t="s">
        <v>311</v>
      </c>
      <c r="D13" s="696" t="str">
        <f t="shared" si="2"/>
        <v>100-000-0000-4500-000-00-05</v>
      </c>
      <c r="E13" s="272" t="s">
        <v>148</v>
      </c>
      <c r="F13" s="696">
        <f t="shared" si="3"/>
        <v>0</v>
      </c>
      <c r="G13" s="696">
        <f>VLOOKUP(L13,'Function-Grant'!$C:$AM,3,'Function-Grant'!$C:$AM)</f>
        <v>0</v>
      </c>
      <c r="H13" s="271" t="s">
        <v>311</v>
      </c>
      <c r="J13" s="276" t="s">
        <v>258</v>
      </c>
      <c r="K13" s="697" t="str">
        <f t="shared" si="0"/>
        <v>0000</v>
      </c>
      <c r="L13" s="327">
        <v>4500</v>
      </c>
      <c r="M13" s="697" t="str">
        <f t="shared" si="1"/>
        <v>000</v>
      </c>
      <c r="N13" s="276" t="s">
        <v>812</v>
      </c>
    </row>
    <row r="14" spans="1:14" x14ac:dyDescent="0.2">
      <c r="A14" s="270" t="s">
        <v>249</v>
      </c>
      <c r="B14" s="270" t="s">
        <v>310</v>
      </c>
      <c r="C14" s="270" t="s">
        <v>311</v>
      </c>
      <c r="D14" s="696" t="str">
        <f t="shared" si="2"/>
        <v>100-000-0000-4500-709-00-05</v>
      </c>
      <c r="E14" s="272" t="s">
        <v>148</v>
      </c>
      <c r="F14" s="696">
        <f t="shared" si="3"/>
        <v>20555</v>
      </c>
      <c r="G14" s="696">
        <f>VLOOKUP(L14,'Function-Grant'!$C:$AM,33,'Function-Grant'!$C:$AM)</f>
        <v>20555</v>
      </c>
      <c r="H14" s="271" t="s">
        <v>311</v>
      </c>
      <c r="J14" s="276" t="s">
        <v>287</v>
      </c>
      <c r="K14" s="697" t="str">
        <f t="shared" si="0"/>
        <v>0000</v>
      </c>
      <c r="L14" s="327">
        <v>4500</v>
      </c>
      <c r="M14" s="697" t="str">
        <f t="shared" si="1"/>
        <v>709</v>
      </c>
      <c r="N14" s="276" t="s">
        <v>812</v>
      </c>
    </row>
    <row r="15" spans="1:14" x14ac:dyDescent="0.2">
      <c r="A15" s="270" t="s">
        <v>249</v>
      </c>
      <c r="B15" s="270" t="s">
        <v>310</v>
      </c>
      <c r="C15" s="270" t="s">
        <v>311</v>
      </c>
      <c r="D15" s="696" t="str">
        <f t="shared" si="2"/>
        <v>100-000-0000-4571-639-00-05</v>
      </c>
      <c r="E15" s="272" t="s">
        <v>148</v>
      </c>
      <c r="F15" s="696">
        <f t="shared" si="3"/>
        <v>5000</v>
      </c>
      <c r="G15" s="696">
        <f>VLOOKUP(L15,'Function-Grant'!$C:$AM,3,'Function-Grant'!$C:$AM)</f>
        <v>5000</v>
      </c>
      <c r="H15" s="271" t="s">
        <v>311</v>
      </c>
      <c r="J15" s="276" t="s">
        <v>813</v>
      </c>
      <c r="K15" s="697" t="str">
        <f t="shared" si="0"/>
        <v>0000</v>
      </c>
      <c r="L15" s="327">
        <v>4571</v>
      </c>
      <c r="M15" s="697" t="str">
        <f t="shared" si="1"/>
        <v>639</v>
      </c>
      <c r="N15" s="276" t="s">
        <v>812</v>
      </c>
    </row>
    <row r="16" spans="1:14" x14ac:dyDescent="0.2">
      <c r="A16" s="270" t="s">
        <v>249</v>
      </c>
      <c r="B16" s="270" t="s">
        <v>310</v>
      </c>
      <c r="C16" s="270" t="s">
        <v>311</v>
      </c>
      <c r="D16" s="696" t="str">
        <f t="shared" si="2"/>
        <v>100-000-0000-4703-000-00-05</v>
      </c>
      <c r="E16" s="272" t="s">
        <v>148</v>
      </c>
      <c r="F16" s="696">
        <f t="shared" si="3"/>
        <v>11737.739999999998</v>
      </c>
      <c r="G16" s="696">
        <f>VLOOKUP(L16,'Function-Grant'!$C:$AM,3,'Function-Grant'!$C:$AM)</f>
        <v>11737.739999999998</v>
      </c>
      <c r="H16" s="271" t="s">
        <v>311</v>
      </c>
      <c r="J16" s="276" t="s">
        <v>258</v>
      </c>
      <c r="K16" s="697" t="str">
        <f t="shared" si="0"/>
        <v>0000</v>
      </c>
      <c r="L16" s="327">
        <v>4703</v>
      </c>
      <c r="M16" s="697" t="str">
        <f t="shared" si="1"/>
        <v>000</v>
      </c>
      <c r="N16" s="276" t="s">
        <v>812</v>
      </c>
    </row>
    <row r="17" spans="1:14" x14ac:dyDescent="0.2">
      <c r="A17" s="270" t="s">
        <v>249</v>
      </c>
      <c r="B17" s="270" t="s">
        <v>310</v>
      </c>
      <c r="C17" s="270" t="s">
        <v>311</v>
      </c>
      <c r="D17" s="696" t="str">
        <f>CONCATENATE("100-100-",K17,"-",L17,"-",M17,"-",N17)</f>
        <v>100-100-1000--000-32-05</v>
      </c>
      <c r="H17" s="271" t="s">
        <v>311</v>
      </c>
      <c r="J17" s="276" t="s">
        <v>259</v>
      </c>
      <c r="K17" s="697" t="str">
        <f t="shared" si="0"/>
        <v>1000</v>
      </c>
      <c r="M17" s="697" t="str">
        <f t="shared" si="1"/>
        <v>000</v>
      </c>
      <c r="N17" s="276" t="s">
        <v>814</v>
      </c>
    </row>
    <row r="18" spans="1:14" x14ac:dyDescent="0.2">
      <c r="A18" s="270" t="s">
        <v>249</v>
      </c>
      <c r="B18" s="270" t="s">
        <v>310</v>
      </c>
      <c r="C18" s="270" t="s">
        <v>311</v>
      </c>
      <c r="D18" s="696" t="str">
        <f t="shared" ref="D18:D82" si="4">CONCATENATE("100-100-",K18,"-",L18,"-",M18,"-",N18)</f>
        <v>100-100-1000-6111-000-32-05</v>
      </c>
      <c r="E18" s="270" t="s">
        <v>312</v>
      </c>
      <c r="F18" s="696">
        <f t="shared" si="3"/>
        <v>0</v>
      </c>
      <c r="G18" s="696">
        <f>VLOOKUP(L18,'Function-Grant'!$C:$AM,4,'Function-Grant'!$C:$AM)</f>
        <v>0</v>
      </c>
      <c r="H18" s="271" t="s">
        <v>311</v>
      </c>
      <c r="J18" s="276" t="s">
        <v>259</v>
      </c>
      <c r="K18" s="697" t="str">
        <f t="shared" si="0"/>
        <v>1000</v>
      </c>
      <c r="L18" s="698">
        <v>6111</v>
      </c>
      <c r="M18" s="697" t="str">
        <f t="shared" si="1"/>
        <v>000</v>
      </c>
      <c r="N18" s="276" t="s">
        <v>814</v>
      </c>
    </row>
    <row r="19" spans="1:14" x14ac:dyDescent="0.2">
      <c r="A19" s="270" t="s">
        <v>249</v>
      </c>
      <c r="B19" s="270" t="s">
        <v>310</v>
      </c>
      <c r="C19" s="270" t="s">
        <v>311</v>
      </c>
      <c r="D19" s="696" t="str">
        <f t="shared" si="4"/>
        <v>100-100-1000-6114-000-32-05</v>
      </c>
      <c r="E19" s="270" t="s">
        <v>312</v>
      </c>
      <c r="F19" s="696">
        <f t="shared" si="3"/>
        <v>0</v>
      </c>
      <c r="G19" s="696">
        <f>VLOOKUP(L19,'Function-Grant'!$C:$AM,4,'Function-Grant'!$C:$AM)</f>
        <v>0</v>
      </c>
      <c r="H19" s="271" t="s">
        <v>311</v>
      </c>
      <c r="J19" s="276" t="s">
        <v>259</v>
      </c>
      <c r="K19" s="697" t="str">
        <f t="shared" si="0"/>
        <v>1000</v>
      </c>
      <c r="L19" s="698">
        <v>6114</v>
      </c>
      <c r="M19" s="697" t="str">
        <f t="shared" si="1"/>
        <v>000</v>
      </c>
      <c r="N19" s="276" t="s">
        <v>814</v>
      </c>
    </row>
    <row r="20" spans="1:14" x14ac:dyDescent="0.2">
      <c r="A20" s="270" t="s">
        <v>249</v>
      </c>
      <c r="B20" s="270" t="s">
        <v>310</v>
      </c>
      <c r="C20" s="270" t="s">
        <v>311</v>
      </c>
      <c r="D20" s="696" t="str">
        <f t="shared" si="4"/>
        <v>100-100-1000-6117-000-32-05</v>
      </c>
      <c r="E20" s="270" t="s">
        <v>312</v>
      </c>
      <c r="F20" s="696">
        <f t="shared" si="3"/>
        <v>0</v>
      </c>
      <c r="G20" s="696">
        <f>VLOOKUP(L20,'Function-Grant'!$C:$AM,4,'Function-Grant'!$C:$AM)</f>
        <v>0</v>
      </c>
      <c r="H20" s="271" t="s">
        <v>311</v>
      </c>
      <c r="J20" s="276" t="s">
        <v>259</v>
      </c>
      <c r="K20" s="697" t="str">
        <f t="shared" si="0"/>
        <v>1000</v>
      </c>
      <c r="L20" s="698">
        <v>6117</v>
      </c>
      <c r="M20" s="697" t="str">
        <f t="shared" si="1"/>
        <v>000</v>
      </c>
      <c r="N20" s="276" t="s">
        <v>814</v>
      </c>
    </row>
    <row r="21" spans="1:14" x14ac:dyDescent="0.2">
      <c r="A21" s="270" t="s">
        <v>249</v>
      </c>
      <c r="B21" s="270" t="s">
        <v>310</v>
      </c>
      <c r="C21" s="270" t="s">
        <v>311</v>
      </c>
      <c r="D21" s="696" t="str">
        <f t="shared" si="4"/>
        <v>100-100-1000-6122-000-32-05</v>
      </c>
      <c r="E21" s="270" t="s">
        <v>312</v>
      </c>
      <c r="F21" s="696">
        <f t="shared" si="3"/>
        <v>0</v>
      </c>
      <c r="G21" s="696" t="e">
        <f>VLOOKUP(L21,'Function-Grant'!$C:$AM,4,'Function-Grant'!$C:$AM)</f>
        <v>#N/A</v>
      </c>
      <c r="H21" s="271" t="s">
        <v>311</v>
      </c>
      <c r="J21" s="276" t="s">
        <v>259</v>
      </c>
      <c r="K21" s="697" t="str">
        <f t="shared" si="0"/>
        <v>1000</v>
      </c>
      <c r="L21" s="698">
        <v>6122</v>
      </c>
      <c r="M21" s="697" t="str">
        <f t="shared" si="1"/>
        <v>000</v>
      </c>
      <c r="N21" s="276" t="s">
        <v>814</v>
      </c>
    </row>
    <row r="22" spans="1:14" x14ac:dyDescent="0.2">
      <c r="A22" s="270" t="s">
        <v>249</v>
      </c>
      <c r="B22" s="270" t="s">
        <v>310</v>
      </c>
      <c r="C22" s="270" t="s">
        <v>311</v>
      </c>
      <c r="D22" s="696" t="str">
        <f t="shared" si="4"/>
        <v>100-100-1000-6127-000-32-05</v>
      </c>
      <c r="E22" s="270" t="s">
        <v>312</v>
      </c>
      <c r="F22" s="696">
        <f t="shared" si="3"/>
        <v>0</v>
      </c>
      <c r="G22" s="696">
        <f>VLOOKUP(L22,'Function-Grant'!$C:$AM,4,'Function-Grant'!$C:$AM)</f>
        <v>0</v>
      </c>
      <c r="H22" s="271" t="s">
        <v>311</v>
      </c>
      <c r="J22" s="276" t="s">
        <v>259</v>
      </c>
      <c r="K22" s="697" t="str">
        <f t="shared" si="0"/>
        <v>1000</v>
      </c>
      <c r="L22" s="698">
        <v>6127</v>
      </c>
      <c r="M22" s="697" t="str">
        <f t="shared" si="1"/>
        <v>000</v>
      </c>
      <c r="N22" s="276" t="s">
        <v>814</v>
      </c>
    </row>
    <row r="23" spans="1:14" x14ac:dyDescent="0.2">
      <c r="A23" s="270" t="s">
        <v>249</v>
      </c>
      <c r="B23" s="270" t="s">
        <v>310</v>
      </c>
      <c r="C23" s="270" t="s">
        <v>311</v>
      </c>
      <c r="D23" s="696" t="str">
        <f t="shared" si="4"/>
        <v>100-100-1000-6151-000-32-05</v>
      </c>
      <c r="E23" s="270" t="s">
        <v>312</v>
      </c>
      <c r="F23" s="696">
        <f t="shared" si="3"/>
        <v>0</v>
      </c>
      <c r="G23" s="696">
        <f>VLOOKUP(L23,'Function-Grant'!$C:$AM,4,'Function-Grant'!$C:$AM)</f>
        <v>0</v>
      </c>
      <c r="H23" s="271" t="s">
        <v>311</v>
      </c>
      <c r="J23" s="276" t="s">
        <v>259</v>
      </c>
      <c r="K23" s="697" t="str">
        <f t="shared" si="0"/>
        <v>1000</v>
      </c>
      <c r="L23" s="698">
        <v>6151</v>
      </c>
      <c r="M23" s="697" t="str">
        <f t="shared" si="1"/>
        <v>000</v>
      </c>
      <c r="N23" s="276" t="s">
        <v>814</v>
      </c>
    </row>
    <row r="24" spans="1:14" x14ac:dyDescent="0.2">
      <c r="A24" s="270" t="s">
        <v>249</v>
      </c>
      <c r="B24" s="270" t="s">
        <v>310</v>
      </c>
      <c r="C24" s="270" t="s">
        <v>311</v>
      </c>
      <c r="D24" s="696" t="str">
        <f t="shared" si="4"/>
        <v>100-100-1000-6154-000-32-05</v>
      </c>
      <c r="E24" s="270" t="s">
        <v>312</v>
      </c>
      <c r="F24" s="696">
        <f t="shared" si="3"/>
        <v>0</v>
      </c>
      <c r="G24" s="696">
        <f>VLOOKUP(L24,'Function-Grant'!$C:$AM,4,'Function-Grant'!$C:$AM)</f>
        <v>0</v>
      </c>
      <c r="H24" s="271" t="s">
        <v>311</v>
      </c>
      <c r="J24" s="276" t="s">
        <v>259</v>
      </c>
      <c r="K24" s="697" t="str">
        <f t="shared" si="0"/>
        <v>1000</v>
      </c>
      <c r="L24" s="698">
        <v>6154</v>
      </c>
      <c r="M24" s="697" t="str">
        <f t="shared" si="1"/>
        <v>000</v>
      </c>
      <c r="N24" s="276" t="s">
        <v>814</v>
      </c>
    </row>
    <row r="25" spans="1:14" x14ac:dyDescent="0.2">
      <c r="A25" s="270" t="s">
        <v>249</v>
      </c>
      <c r="B25" s="270" t="s">
        <v>310</v>
      </c>
      <c r="C25" s="270" t="s">
        <v>311</v>
      </c>
      <c r="D25" s="696" t="str">
        <f t="shared" si="4"/>
        <v>100-100-1000-6157-000-32-05</v>
      </c>
      <c r="E25" s="270" t="s">
        <v>312</v>
      </c>
      <c r="F25" s="696">
        <f t="shared" si="3"/>
        <v>0</v>
      </c>
      <c r="G25" s="696">
        <f>VLOOKUP(L25,'Function-Grant'!$C:$AM,4,'Function-Grant'!$C:$AM)</f>
        <v>0</v>
      </c>
      <c r="H25" s="271" t="s">
        <v>311</v>
      </c>
      <c r="J25" s="276" t="s">
        <v>259</v>
      </c>
      <c r="K25" s="697" t="str">
        <f t="shared" si="0"/>
        <v>1000</v>
      </c>
      <c r="L25" s="698">
        <v>6157</v>
      </c>
      <c r="M25" s="697" t="str">
        <f t="shared" si="1"/>
        <v>000</v>
      </c>
      <c r="N25" s="276" t="s">
        <v>814</v>
      </c>
    </row>
    <row r="26" spans="1:14" x14ac:dyDescent="0.2">
      <c r="A26" s="270" t="s">
        <v>249</v>
      </c>
      <c r="B26" s="270" t="s">
        <v>310</v>
      </c>
      <c r="C26" s="270" t="s">
        <v>311</v>
      </c>
      <c r="D26" s="696" t="str">
        <f t="shared" si="4"/>
        <v>100-100-1000-6161-000-32-05</v>
      </c>
      <c r="E26" s="270" t="s">
        <v>312</v>
      </c>
      <c r="F26" s="696">
        <f t="shared" si="3"/>
        <v>0</v>
      </c>
      <c r="G26" s="696">
        <f>VLOOKUP(L26,'Function-Grant'!$C:$AM,4,'Function-Grant'!$C:$AM)</f>
        <v>0</v>
      </c>
      <c r="H26" s="271" t="s">
        <v>311</v>
      </c>
      <c r="J26" s="276" t="s">
        <v>259</v>
      </c>
      <c r="K26" s="697" t="str">
        <f t="shared" si="0"/>
        <v>1000</v>
      </c>
      <c r="L26" s="698">
        <v>6161</v>
      </c>
      <c r="M26" s="697" t="str">
        <f t="shared" si="1"/>
        <v>000</v>
      </c>
      <c r="N26" s="276" t="s">
        <v>814</v>
      </c>
    </row>
    <row r="27" spans="1:14" x14ac:dyDescent="0.2">
      <c r="A27" s="270" t="s">
        <v>249</v>
      </c>
      <c r="B27" s="270" t="s">
        <v>310</v>
      </c>
      <c r="C27" s="270" t="s">
        <v>311</v>
      </c>
      <c r="D27" s="696" t="str">
        <f t="shared" si="4"/>
        <v>100-100-1000-6164-000-32-05</v>
      </c>
      <c r="E27" s="270" t="s">
        <v>312</v>
      </c>
      <c r="F27" s="696">
        <f t="shared" si="3"/>
        <v>0</v>
      </c>
      <c r="G27" s="696">
        <f>VLOOKUP(L27,'Function-Grant'!$C:$AM,4,'Function-Grant'!$C:$AM)</f>
        <v>0</v>
      </c>
      <c r="H27" s="271" t="s">
        <v>311</v>
      </c>
      <c r="J27" s="276" t="s">
        <v>259</v>
      </c>
      <c r="K27" s="697" t="str">
        <f t="shared" si="0"/>
        <v>1000</v>
      </c>
      <c r="L27" s="698">
        <v>6164</v>
      </c>
      <c r="M27" s="697" t="str">
        <f t="shared" si="1"/>
        <v>000</v>
      </c>
      <c r="N27" s="276" t="s">
        <v>814</v>
      </c>
    </row>
    <row r="28" spans="1:14" x14ac:dyDescent="0.2">
      <c r="A28" s="270" t="s">
        <v>249</v>
      </c>
      <c r="B28" s="270" t="s">
        <v>310</v>
      </c>
      <c r="C28" s="270" t="s">
        <v>311</v>
      </c>
      <c r="D28" s="696" t="str">
        <f t="shared" si="4"/>
        <v>100-100-1000-6167-000-32-05</v>
      </c>
      <c r="E28" s="270" t="s">
        <v>312</v>
      </c>
      <c r="F28" s="696">
        <f t="shared" si="3"/>
        <v>0</v>
      </c>
      <c r="G28" s="696">
        <f>VLOOKUP(L28,'Function-Grant'!$C:$AM,4,'Function-Grant'!$C:$AM)</f>
        <v>0</v>
      </c>
      <c r="H28" s="271" t="s">
        <v>311</v>
      </c>
      <c r="J28" s="276" t="s">
        <v>259</v>
      </c>
      <c r="K28" s="697" t="str">
        <f t="shared" si="0"/>
        <v>1000</v>
      </c>
      <c r="L28" s="698">
        <v>6167</v>
      </c>
      <c r="M28" s="697" t="str">
        <f t="shared" si="1"/>
        <v>000</v>
      </c>
      <c r="N28" s="276" t="s">
        <v>814</v>
      </c>
    </row>
    <row r="29" spans="1:14" x14ac:dyDescent="0.2">
      <c r="A29" s="270" t="s">
        <v>249</v>
      </c>
      <c r="B29" s="270" t="s">
        <v>310</v>
      </c>
      <c r="C29" s="270" t="s">
        <v>311</v>
      </c>
      <c r="D29" s="696" t="str">
        <f t="shared" si="4"/>
        <v>100-100-1000-6211-000-32-05</v>
      </c>
      <c r="E29" s="270" t="s">
        <v>312</v>
      </c>
      <c r="F29" s="696">
        <f t="shared" si="3"/>
        <v>0</v>
      </c>
      <c r="G29" s="696">
        <f>VLOOKUP(L29,'Function-Grant'!$C:$AM,4,'Function-Grant'!$C:$AM)</f>
        <v>0</v>
      </c>
      <c r="H29" s="271" t="s">
        <v>311</v>
      </c>
      <c r="J29" s="276" t="s">
        <v>259</v>
      </c>
      <c r="K29" s="697" t="str">
        <f t="shared" si="0"/>
        <v>1000</v>
      </c>
      <c r="L29" s="698">
        <v>6211</v>
      </c>
      <c r="M29" s="697" t="str">
        <f t="shared" si="1"/>
        <v>000</v>
      </c>
      <c r="N29" s="276" t="s">
        <v>814</v>
      </c>
    </row>
    <row r="30" spans="1:14" x14ac:dyDescent="0.2">
      <c r="A30" s="270" t="s">
        <v>249</v>
      </c>
      <c r="B30" s="270" t="s">
        <v>310</v>
      </c>
      <c r="C30" s="270" t="s">
        <v>311</v>
      </c>
      <c r="D30" s="696" t="str">
        <f t="shared" si="4"/>
        <v>100-100-1000-6214-000-32-05</v>
      </c>
      <c r="E30" s="270" t="s">
        <v>312</v>
      </c>
      <c r="F30" s="696">
        <f t="shared" si="3"/>
        <v>0</v>
      </c>
      <c r="G30" s="696">
        <f>VLOOKUP(L30,'Function-Grant'!$C:$AM,4,'Function-Grant'!$C:$AM)</f>
        <v>0</v>
      </c>
      <c r="H30" s="271" t="s">
        <v>311</v>
      </c>
      <c r="J30" s="276" t="s">
        <v>259</v>
      </c>
      <c r="K30" s="697" t="str">
        <f t="shared" si="0"/>
        <v>1000</v>
      </c>
      <c r="L30" s="698">
        <v>6214</v>
      </c>
      <c r="M30" s="697" t="str">
        <f t="shared" si="1"/>
        <v>000</v>
      </c>
      <c r="N30" s="276" t="s">
        <v>814</v>
      </c>
    </row>
    <row r="31" spans="1:14" x14ac:dyDescent="0.2">
      <c r="A31" s="270" t="s">
        <v>249</v>
      </c>
      <c r="B31" s="270" t="s">
        <v>310</v>
      </c>
      <c r="C31" s="270" t="s">
        <v>311</v>
      </c>
      <c r="D31" s="696" t="str">
        <f t="shared" si="4"/>
        <v>100-100-1000-6217-000-32-05</v>
      </c>
      <c r="E31" s="270" t="s">
        <v>312</v>
      </c>
      <c r="F31" s="696">
        <f t="shared" si="3"/>
        <v>0</v>
      </c>
      <c r="G31" s="696">
        <f>VLOOKUP(L31,'Function-Grant'!$C:$AM,4,'Function-Grant'!$C:$AM)</f>
        <v>0</v>
      </c>
      <c r="H31" s="271" t="s">
        <v>311</v>
      </c>
      <c r="J31" s="276" t="s">
        <v>259</v>
      </c>
      <c r="K31" s="697" t="str">
        <f t="shared" si="0"/>
        <v>1000</v>
      </c>
      <c r="L31" s="698">
        <v>6217</v>
      </c>
      <c r="M31" s="697" t="str">
        <f t="shared" si="1"/>
        <v>000</v>
      </c>
      <c r="N31" s="276" t="s">
        <v>814</v>
      </c>
    </row>
    <row r="32" spans="1:14" x14ac:dyDescent="0.2">
      <c r="A32" s="270" t="s">
        <v>249</v>
      </c>
      <c r="B32" s="270" t="s">
        <v>310</v>
      </c>
      <c r="C32" s="270" t="s">
        <v>311</v>
      </c>
      <c r="D32" s="696" t="str">
        <f t="shared" si="4"/>
        <v>100-100-1000-6221-000-32-05</v>
      </c>
      <c r="E32" s="270" t="s">
        <v>312</v>
      </c>
      <c r="F32" s="696">
        <f t="shared" si="3"/>
        <v>0</v>
      </c>
      <c r="G32" s="696" t="e">
        <f>VLOOKUP(L32,'Function-Grant'!$C:$AM,4,'Function-Grant'!$C:$AM)</f>
        <v>#N/A</v>
      </c>
      <c r="H32" s="271" t="s">
        <v>311</v>
      </c>
      <c r="J32" s="276" t="s">
        <v>259</v>
      </c>
      <c r="K32" s="697" t="str">
        <f t="shared" si="0"/>
        <v>1000</v>
      </c>
      <c r="L32" s="698">
        <v>6221</v>
      </c>
      <c r="M32" s="697" t="str">
        <f t="shared" si="1"/>
        <v>000</v>
      </c>
      <c r="N32" s="276" t="s">
        <v>814</v>
      </c>
    </row>
    <row r="33" spans="1:14" x14ac:dyDescent="0.2">
      <c r="A33" s="270" t="s">
        <v>249</v>
      </c>
      <c r="B33" s="270" t="s">
        <v>310</v>
      </c>
      <c r="C33" s="270" t="s">
        <v>311</v>
      </c>
      <c r="D33" s="696" t="str">
        <f t="shared" si="4"/>
        <v>100-100-1000-6222-000-32-05</v>
      </c>
      <c r="E33" s="270" t="s">
        <v>312</v>
      </c>
      <c r="F33" s="696">
        <f t="shared" si="3"/>
        <v>0</v>
      </c>
      <c r="G33" s="696" t="e">
        <f>VLOOKUP(L33,'Function-Grant'!$C:$AM,4,'Function-Grant'!$C:$AM)</f>
        <v>#N/A</v>
      </c>
      <c r="H33" s="271" t="s">
        <v>311</v>
      </c>
      <c r="J33" s="276" t="s">
        <v>259</v>
      </c>
      <c r="K33" s="697" t="str">
        <f t="shared" si="0"/>
        <v>1000</v>
      </c>
      <c r="L33" s="698">
        <v>6222</v>
      </c>
      <c r="M33" s="697" t="str">
        <f t="shared" si="1"/>
        <v>000</v>
      </c>
      <c r="N33" s="276" t="s">
        <v>814</v>
      </c>
    </row>
    <row r="34" spans="1:14" x14ac:dyDescent="0.2">
      <c r="A34" s="270" t="s">
        <v>249</v>
      </c>
      <c r="B34" s="270" t="s">
        <v>310</v>
      </c>
      <c r="C34" s="270" t="s">
        <v>311</v>
      </c>
      <c r="D34" s="696" t="str">
        <f t="shared" si="4"/>
        <v>100-100-1000-6227-000-32-05</v>
      </c>
      <c r="E34" s="270" t="s">
        <v>312</v>
      </c>
      <c r="F34" s="696">
        <f t="shared" si="3"/>
        <v>0</v>
      </c>
      <c r="G34" s="696">
        <f>VLOOKUP(L34,'Function-Grant'!$C:$AM,4,'Function-Grant'!$C:$AM)</f>
        <v>0</v>
      </c>
      <c r="H34" s="271" t="s">
        <v>311</v>
      </c>
      <c r="J34" s="276" t="s">
        <v>259</v>
      </c>
      <c r="K34" s="697" t="str">
        <f t="shared" si="0"/>
        <v>1000</v>
      </c>
      <c r="L34" s="698">
        <v>6227</v>
      </c>
      <c r="M34" s="697" t="str">
        <f t="shared" si="1"/>
        <v>000</v>
      </c>
      <c r="N34" s="276" t="s">
        <v>814</v>
      </c>
    </row>
    <row r="35" spans="1:14" x14ac:dyDescent="0.2">
      <c r="A35" s="270" t="s">
        <v>249</v>
      </c>
      <c r="B35" s="270" t="s">
        <v>310</v>
      </c>
      <c r="C35" s="270" t="s">
        <v>311</v>
      </c>
      <c r="D35" s="696" t="str">
        <f t="shared" si="4"/>
        <v>100-100-1000-6231-000-32-05</v>
      </c>
      <c r="E35" s="270" t="s">
        <v>312</v>
      </c>
      <c r="F35" s="696">
        <f t="shared" si="3"/>
        <v>0</v>
      </c>
      <c r="G35" s="696">
        <f>VLOOKUP(L35,'Function-Grant'!$C:$AM,4,'Function-Grant'!$C:$AM)</f>
        <v>0</v>
      </c>
      <c r="H35" s="271" t="s">
        <v>311</v>
      </c>
      <c r="J35" s="276" t="s">
        <v>259</v>
      </c>
      <c r="K35" s="697" t="str">
        <f t="shared" si="0"/>
        <v>1000</v>
      </c>
      <c r="L35" s="698">
        <v>6231</v>
      </c>
      <c r="M35" s="697" t="str">
        <f t="shared" si="1"/>
        <v>000</v>
      </c>
      <c r="N35" s="276" t="s">
        <v>814</v>
      </c>
    </row>
    <row r="36" spans="1:14" x14ac:dyDescent="0.2">
      <c r="A36" s="270" t="s">
        <v>249</v>
      </c>
      <c r="B36" s="270" t="s">
        <v>310</v>
      </c>
      <c r="C36" s="270" t="s">
        <v>311</v>
      </c>
      <c r="D36" s="696" t="str">
        <f t="shared" si="4"/>
        <v>100-100-1000-6234-000-32-05</v>
      </c>
      <c r="E36" s="270" t="s">
        <v>312</v>
      </c>
      <c r="F36" s="696">
        <f t="shared" si="3"/>
        <v>0</v>
      </c>
      <c r="G36" s="696">
        <f>VLOOKUP(L36,'Function-Grant'!$C:$AM,4,'Function-Grant'!$C:$AM)</f>
        <v>0</v>
      </c>
      <c r="H36" s="271" t="s">
        <v>311</v>
      </c>
      <c r="J36" s="276" t="s">
        <v>259</v>
      </c>
      <c r="K36" s="697" t="str">
        <f t="shared" si="0"/>
        <v>1000</v>
      </c>
      <c r="L36" s="698">
        <v>6234</v>
      </c>
      <c r="M36" s="697" t="str">
        <f t="shared" si="1"/>
        <v>000</v>
      </c>
      <c r="N36" s="276" t="s">
        <v>814</v>
      </c>
    </row>
    <row r="37" spans="1:14" x14ac:dyDescent="0.2">
      <c r="A37" s="270" t="s">
        <v>249</v>
      </c>
      <c r="B37" s="270" t="s">
        <v>310</v>
      </c>
      <c r="C37" s="270" t="s">
        <v>311</v>
      </c>
      <c r="D37" s="696" t="str">
        <f t="shared" si="4"/>
        <v>100-100-1000-6237-000-32-05</v>
      </c>
      <c r="E37" s="270" t="s">
        <v>312</v>
      </c>
      <c r="F37" s="696">
        <f t="shared" si="3"/>
        <v>0</v>
      </c>
      <c r="G37" s="696">
        <f>VLOOKUP(L37,'Function-Grant'!$C:$AM,4,'Function-Grant'!$C:$AM)</f>
        <v>0</v>
      </c>
      <c r="H37" s="271" t="s">
        <v>311</v>
      </c>
      <c r="J37" s="276" t="s">
        <v>259</v>
      </c>
      <c r="K37" s="697" t="str">
        <f t="shared" si="0"/>
        <v>1000</v>
      </c>
      <c r="L37" s="698">
        <v>6237</v>
      </c>
      <c r="M37" s="697" t="str">
        <f t="shared" si="1"/>
        <v>000</v>
      </c>
      <c r="N37" s="276" t="s">
        <v>814</v>
      </c>
    </row>
    <row r="38" spans="1:14" x14ac:dyDescent="0.2">
      <c r="A38" s="270" t="s">
        <v>249</v>
      </c>
      <c r="B38" s="270" t="s">
        <v>310</v>
      </c>
      <c r="C38" s="270" t="s">
        <v>311</v>
      </c>
      <c r="D38" s="696" t="str">
        <f t="shared" si="4"/>
        <v>100-100-1000-6240-000-32-05</v>
      </c>
      <c r="E38" s="270" t="s">
        <v>312</v>
      </c>
      <c r="F38" s="696">
        <f t="shared" si="3"/>
        <v>0</v>
      </c>
      <c r="G38" s="696" t="e">
        <f>VLOOKUP(L38,'Function-Grant'!$C:$AM,4,'Function-Grant'!$C:$AM)</f>
        <v>#N/A</v>
      </c>
      <c r="H38" s="271" t="s">
        <v>311</v>
      </c>
      <c r="J38" s="276" t="s">
        <v>259</v>
      </c>
      <c r="K38" s="697" t="str">
        <f t="shared" si="0"/>
        <v>1000</v>
      </c>
      <c r="L38" s="698">
        <v>6240</v>
      </c>
      <c r="M38" s="697" t="str">
        <f t="shared" si="1"/>
        <v>000</v>
      </c>
      <c r="N38" s="276" t="s">
        <v>814</v>
      </c>
    </row>
    <row r="39" spans="1:14" x14ac:dyDescent="0.2">
      <c r="A39" s="270" t="s">
        <v>249</v>
      </c>
      <c r="B39" s="270" t="s">
        <v>310</v>
      </c>
      <c r="C39" s="270" t="s">
        <v>311</v>
      </c>
      <c r="D39" s="696" t="str">
        <f t="shared" si="4"/>
        <v>100-100-1000-6241-000-32-05</v>
      </c>
      <c r="E39" s="270" t="s">
        <v>312</v>
      </c>
      <c r="F39" s="696">
        <f t="shared" si="3"/>
        <v>0</v>
      </c>
      <c r="G39" s="696">
        <f>VLOOKUP(L39,'Function-Grant'!$C:$AM,4,'Function-Grant'!$C:$AM)</f>
        <v>0</v>
      </c>
      <c r="H39" s="271" t="s">
        <v>311</v>
      </c>
      <c r="J39" s="276" t="s">
        <v>259</v>
      </c>
      <c r="K39" s="697" t="str">
        <f t="shared" si="0"/>
        <v>1000</v>
      </c>
      <c r="L39" s="698">
        <v>6241</v>
      </c>
      <c r="M39" s="697" t="str">
        <f t="shared" si="1"/>
        <v>000</v>
      </c>
      <c r="N39" s="276" t="s">
        <v>814</v>
      </c>
    </row>
    <row r="40" spans="1:14" x14ac:dyDescent="0.2">
      <c r="A40" s="270" t="s">
        <v>249</v>
      </c>
      <c r="B40" s="270" t="s">
        <v>310</v>
      </c>
      <c r="C40" s="270" t="s">
        <v>311</v>
      </c>
      <c r="D40" s="696" t="str">
        <f t="shared" si="4"/>
        <v>100-100-1000-6242-000-32-05</v>
      </c>
      <c r="E40" s="270" t="s">
        <v>312</v>
      </c>
      <c r="F40" s="696">
        <f t="shared" si="3"/>
        <v>0</v>
      </c>
      <c r="G40" s="696" t="e">
        <f>VLOOKUP(L40,'Function-Grant'!$C:$AM,4,'Function-Grant'!$C:$AM)</f>
        <v>#N/A</v>
      </c>
      <c r="H40" s="271" t="s">
        <v>311</v>
      </c>
      <c r="J40" s="276" t="s">
        <v>259</v>
      </c>
      <c r="K40" s="697" t="str">
        <f t="shared" si="0"/>
        <v>1000</v>
      </c>
      <c r="L40" s="698">
        <v>6242</v>
      </c>
      <c r="M40" s="697" t="str">
        <f t="shared" si="1"/>
        <v>000</v>
      </c>
      <c r="N40" s="276" t="s">
        <v>814</v>
      </c>
    </row>
    <row r="41" spans="1:14" x14ac:dyDescent="0.2">
      <c r="A41" s="270" t="s">
        <v>249</v>
      </c>
      <c r="B41" s="270" t="s">
        <v>310</v>
      </c>
      <c r="C41" s="270" t="s">
        <v>311</v>
      </c>
      <c r="D41" s="696" t="str">
        <f t="shared" si="4"/>
        <v>100-100-1000-6244-000-32-05</v>
      </c>
      <c r="E41" s="270" t="s">
        <v>312</v>
      </c>
      <c r="F41" s="696">
        <f t="shared" si="3"/>
        <v>0</v>
      </c>
      <c r="G41" s="696">
        <f>VLOOKUP(L41,'Function-Grant'!$C:$AM,4,'Function-Grant'!$C:$AM)</f>
        <v>0</v>
      </c>
      <c r="H41" s="271" t="s">
        <v>311</v>
      </c>
      <c r="J41" s="276" t="s">
        <v>259</v>
      </c>
      <c r="K41" s="697" t="str">
        <f t="shared" si="0"/>
        <v>1000</v>
      </c>
      <c r="L41" s="698">
        <v>6244</v>
      </c>
      <c r="M41" s="697" t="str">
        <f t="shared" si="1"/>
        <v>000</v>
      </c>
      <c r="N41" s="276" t="s">
        <v>814</v>
      </c>
    </row>
    <row r="42" spans="1:14" x14ac:dyDescent="0.2">
      <c r="A42" s="270" t="s">
        <v>249</v>
      </c>
      <c r="B42" s="270" t="s">
        <v>310</v>
      </c>
      <c r="C42" s="270" t="s">
        <v>311</v>
      </c>
      <c r="D42" s="696" t="str">
        <f t="shared" si="4"/>
        <v>100-100-1000-6247-000-32-05</v>
      </c>
      <c r="E42" s="270" t="s">
        <v>312</v>
      </c>
      <c r="F42" s="696">
        <f t="shared" si="3"/>
        <v>0</v>
      </c>
      <c r="G42" s="696">
        <f>VLOOKUP(L42,'Function-Grant'!$C:$AM,4,'Function-Grant'!$C:$AM)</f>
        <v>0</v>
      </c>
      <c r="H42" s="271" t="s">
        <v>311</v>
      </c>
      <c r="J42" s="276" t="s">
        <v>259</v>
      </c>
      <c r="K42" s="697" t="str">
        <f t="shared" si="0"/>
        <v>1000</v>
      </c>
      <c r="L42" s="698">
        <v>6247</v>
      </c>
      <c r="M42" s="697" t="str">
        <f t="shared" si="1"/>
        <v>000</v>
      </c>
      <c r="N42" s="276" t="s">
        <v>814</v>
      </c>
    </row>
    <row r="43" spans="1:14" x14ac:dyDescent="0.2">
      <c r="A43" s="270" t="s">
        <v>249</v>
      </c>
      <c r="B43" s="270" t="s">
        <v>310</v>
      </c>
      <c r="C43" s="270" t="s">
        <v>311</v>
      </c>
      <c r="D43" s="696" t="str">
        <f t="shared" si="4"/>
        <v>100-100-1000-6261-000-32-05</v>
      </c>
      <c r="E43" s="270" t="s">
        <v>312</v>
      </c>
      <c r="F43" s="696">
        <f t="shared" si="3"/>
        <v>0</v>
      </c>
      <c r="G43" s="696">
        <f>VLOOKUP(L43,'Function-Grant'!$C:$AM,4,'Function-Grant'!$C:$AM)</f>
        <v>0</v>
      </c>
      <c r="H43" s="271" t="s">
        <v>311</v>
      </c>
      <c r="J43" s="276" t="s">
        <v>259</v>
      </c>
      <c r="K43" s="697" t="str">
        <f t="shared" si="0"/>
        <v>1000</v>
      </c>
      <c r="L43" s="698">
        <v>6261</v>
      </c>
      <c r="M43" s="697" t="str">
        <f t="shared" si="1"/>
        <v>000</v>
      </c>
      <c r="N43" s="276" t="s">
        <v>814</v>
      </c>
    </row>
    <row r="44" spans="1:14" x14ac:dyDescent="0.2">
      <c r="A44" s="270" t="s">
        <v>249</v>
      </c>
      <c r="B44" s="270" t="s">
        <v>310</v>
      </c>
      <c r="C44" s="270" t="s">
        <v>311</v>
      </c>
      <c r="D44" s="696" t="str">
        <f t="shared" si="4"/>
        <v>100-100-1000-6262-000-32-05</v>
      </c>
      <c r="E44" s="270" t="s">
        <v>312</v>
      </c>
      <c r="F44" s="696">
        <f t="shared" si="3"/>
        <v>0</v>
      </c>
      <c r="G44" s="696" t="e">
        <f>VLOOKUP(L44,'Function-Grant'!$C:$AM,4,'Function-Grant'!$C:$AM)</f>
        <v>#N/A</v>
      </c>
      <c r="H44" s="271" t="s">
        <v>311</v>
      </c>
      <c r="J44" s="276" t="s">
        <v>259</v>
      </c>
      <c r="K44" s="697" t="str">
        <f t="shared" si="0"/>
        <v>1000</v>
      </c>
      <c r="L44" s="698">
        <v>6262</v>
      </c>
      <c r="M44" s="697" t="str">
        <f t="shared" si="1"/>
        <v>000</v>
      </c>
      <c r="N44" s="276" t="s">
        <v>814</v>
      </c>
    </row>
    <row r="45" spans="1:14" x14ac:dyDescent="0.2">
      <c r="A45" s="270" t="s">
        <v>249</v>
      </c>
      <c r="B45" s="270" t="s">
        <v>310</v>
      </c>
      <c r="C45" s="270" t="s">
        <v>311</v>
      </c>
      <c r="D45" s="696" t="str">
        <f t="shared" si="4"/>
        <v>100-100-1000-6264-000-32-05</v>
      </c>
      <c r="E45" s="270" t="s">
        <v>312</v>
      </c>
      <c r="F45" s="696">
        <f t="shared" si="3"/>
        <v>0</v>
      </c>
      <c r="G45" s="696">
        <f>VLOOKUP(L45,'Function-Grant'!$C:$AM,4,'Function-Grant'!$C:$AM)</f>
        <v>0</v>
      </c>
      <c r="H45" s="271" t="s">
        <v>311</v>
      </c>
      <c r="J45" s="276" t="s">
        <v>259</v>
      </c>
      <c r="K45" s="697" t="str">
        <f t="shared" si="0"/>
        <v>1000</v>
      </c>
      <c r="L45" s="698">
        <v>6264</v>
      </c>
      <c r="M45" s="697" t="str">
        <f t="shared" si="1"/>
        <v>000</v>
      </c>
      <c r="N45" s="276" t="s">
        <v>814</v>
      </c>
    </row>
    <row r="46" spans="1:14" x14ac:dyDescent="0.2">
      <c r="A46" s="270" t="s">
        <v>249</v>
      </c>
      <c r="B46" s="270" t="s">
        <v>310</v>
      </c>
      <c r="C46" s="270" t="s">
        <v>311</v>
      </c>
      <c r="D46" s="696" t="str">
        <f t="shared" si="4"/>
        <v>100-100-1000-6267-000-32-05</v>
      </c>
      <c r="E46" s="270" t="s">
        <v>312</v>
      </c>
      <c r="F46" s="696">
        <f t="shared" si="3"/>
        <v>0</v>
      </c>
      <c r="G46" s="696">
        <f>VLOOKUP(L46,'Function-Grant'!$C:$AM,4,'Function-Grant'!$C:$AM)</f>
        <v>0</v>
      </c>
      <c r="H46" s="271" t="s">
        <v>311</v>
      </c>
      <c r="J46" s="276" t="s">
        <v>259</v>
      </c>
      <c r="K46" s="697" t="str">
        <f t="shared" si="0"/>
        <v>1000</v>
      </c>
      <c r="L46" s="698">
        <v>6267</v>
      </c>
      <c r="M46" s="697" t="str">
        <f t="shared" si="1"/>
        <v>000</v>
      </c>
      <c r="N46" s="276" t="s">
        <v>814</v>
      </c>
    </row>
    <row r="47" spans="1:14" x14ac:dyDescent="0.2">
      <c r="A47" s="270" t="s">
        <v>249</v>
      </c>
      <c r="B47" s="270" t="s">
        <v>310</v>
      </c>
      <c r="C47" s="270" t="s">
        <v>311</v>
      </c>
      <c r="D47" s="696" t="str">
        <f t="shared" si="4"/>
        <v>100-100-1000-6271-000-32-05</v>
      </c>
      <c r="E47" s="270" t="s">
        <v>312</v>
      </c>
      <c r="F47" s="696">
        <f t="shared" si="3"/>
        <v>0</v>
      </c>
      <c r="G47" s="696">
        <f>VLOOKUP(L47,'Function-Grant'!$C:$AM,4,'Function-Grant'!$C:$AM)</f>
        <v>0</v>
      </c>
      <c r="H47" s="271" t="s">
        <v>311</v>
      </c>
      <c r="J47" s="276" t="s">
        <v>259</v>
      </c>
      <c r="K47" s="697" t="str">
        <f t="shared" si="0"/>
        <v>1000</v>
      </c>
      <c r="L47" s="698">
        <v>6271</v>
      </c>
      <c r="M47" s="697" t="str">
        <f t="shared" si="1"/>
        <v>000</v>
      </c>
      <c r="N47" s="276" t="s">
        <v>814</v>
      </c>
    </row>
    <row r="48" spans="1:14" x14ac:dyDescent="0.2">
      <c r="A48" s="270" t="s">
        <v>249</v>
      </c>
      <c r="B48" s="270" t="s">
        <v>310</v>
      </c>
      <c r="C48" s="270" t="s">
        <v>311</v>
      </c>
      <c r="D48" s="696" t="str">
        <f t="shared" si="4"/>
        <v>100-100-1000-6274-000-32-05</v>
      </c>
      <c r="E48" s="270" t="s">
        <v>312</v>
      </c>
      <c r="F48" s="696">
        <f t="shared" si="3"/>
        <v>0</v>
      </c>
      <c r="G48" s="696">
        <f>VLOOKUP(L48,'Function-Grant'!$C:$AM,4,'Function-Grant'!$C:$AM)</f>
        <v>0</v>
      </c>
      <c r="H48" s="271" t="s">
        <v>311</v>
      </c>
      <c r="J48" s="276" t="s">
        <v>259</v>
      </c>
      <c r="K48" s="697" t="str">
        <f t="shared" si="0"/>
        <v>1000</v>
      </c>
      <c r="L48" s="698">
        <v>6274</v>
      </c>
      <c r="M48" s="697" t="str">
        <f t="shared" si="1"/>
        <v>000</v>
      </c>
      <c r="N48" s="276" t="s">
        <v>814</v>
      </c>
    </row>
    <row r="49" spans="1:14" x14ac:dyDescent="0.2">
      <c r="A49" s="270" t="s">
        <v>249</v>
      </c>
      <c r="B49" s="270" t="s">
        <v>310</v>
      </c>
      <c r="C49" s="270" t="s">
        <v>311</v>
      </c>
      <c r="D49" s="696" t="str">
        <f t="shared" si="4"/>
        <v>100-100-1000-6277-000-32-05</v>
      </c>
      <c r="E49" s="270" t="s">
        <v>312</v>
      </c>
      <c r="F49" s="696">
        <f t="shared" si="3"/>
        <v>0</v>
      </c>
      <c r="G49" s="696">
        <f>VLOOKUP(L49,'Function-Grant'!$C:$AM,4,'Function-Grant'!$C:$AM)</f>
        <v>0</v>
      </c>
      <c r="H49" s="271" t="s">
        <v>311</v>
      </c>
      <c r="J49" s="276" t="s">
        <v>259</v>
      </c>
      <c r="K49" s="697" t="str">
        <f t="shared" si="0"/>
        <v>1000</v>
      </c>
      <c r="L49" s="698">
        <v>6277</v>
      </c>
      <c r="M49" s="697" t="str">
        <f t="shared" si="1"/>
        <v>000</v>
      </c>
      <c r="N49" s="276" t="s">
        <v>814</v>
      </c>
    </row>
    <row r="50" spans="1:14" x14ac:dyDescent="0.2">
      <c r="A50" s="270" t="s">
        <v>249</v>
      </c>
      <c r="B50" s="270" t="s">
        <v>310</v>
      </c>
      <c r="C50" s="270" t="s">
        <v>311</v>
      </c>
      <c r="D50" s="696" t="str">
        <f t="shared" si="4"/>
        <v>100-100-1000-6281-000-32-05</v>
      </c>
      <c r="E50" s="270" t="s">
        <v>312</v>
      </c>
      <c r="F50" s="696">
        <f t="shared" si="3"/>
        <v>0</v>
      </c>
      <c r="G50" s="696">
        <f>VLOOKUP(L50,'Function-Grant'!$C:$AM,4,'Function-Grant'!$C:$AM)</f>
        <v>0</v>
      </c>
      <c r="H50" s="271" t="s">
        <v>311</v>
      </c>
      <c r="J50" s="276" t="s">
        <v>259</v>
      </c>
      <c r="K50" s="697" t="str">
        <f t="shared" si="0"/>
        <v>1000</v>
      </c>
      <c r="L50" s="698">
        <v>6281</v>
      </c>
      <c r="M50" s="697" t="str">
        <f t="shared" si="1"/>
        <v>000</v>
      </c>
      <c r="N50" s="276" t="s">
        <v>814</v>
      </c>
    </row>
    <row r="51" spans="1:14" x14ac:dyDescent="0.2">
      <c r="A51" s="270" t="s">
        <v>249</v>
      </c>
      <c r="B51" s="270" t="s">
        <v>310</v>
      </c>
      <c r="C51" s="270" t="s">
        <v>311</v>
      </c>
      <c r="D51" s="696" t="str">
        <f t="shared" si="4"/>
        <v>100-100-1000-6284-000-32-05</v>
      </c>
      <c r="E51" s="270" t="s">
        <v>312</v>
      </c>
      <c r="F51" s="696">
        <f t="shared" si="3"/>
        <v>0</v>
      </c>
      <c r="G51" s="696">
        <f>VLOOKUP(L51,'Function-Grant'!$C:$AM,4,'Function-Grant'!$C:$AM)</f>
        <v>0</v>
      </c>
      <c r="H51" s="271" t="s">
        <v>311</v>
      </c>
      <c r="J51" s="276" t="s">
        <v>259</v>
      </c>
      <c r="K51" s="697" t="str">
        <f t="shared" si="0"/>
        <v>1000</v>
      </c>
      <c r="L51" s="698">
        <v>6284</v>
      </c>
      <c r="M51" s="697" t="str">
        <f t="shared" si="1"/>
        <v>000</v>
      </c>
      <c r="N51" s="276" t="s">
        <v>814</v>
      </c>
    </row>
    <row r="52" spans="1:14" x14ac:dyDescent="0.2">
      <c r="A52" s="270" t="s">
        <v>249</v>
      </c>
      <c r="B52" s="270" t="s">
        <v>310</v>
      </c>
      <c r="C52" s="270" t="s">
        <v>311</v>
      </c>
      <c r="D52" s="696" t="str">
        <f t="shared" si="4"/>
        <v>100-100-1000-6287-000-32-05</v>
      </c>
      <c r="E52" s="270" t="s">
        <v>312</v>
      </c>
      <c r="F52" s="696">
        <f t="shared" si="3"/>
        <v>0</v>
      </c>
      <c r="G52" s="696">
        <f>VLOOKUP(L52,'Function-Grant'!$C:$AM,4,'Function-Grant'!$C:$AM)</f>
        <v>0</v>
      </c>
      <c r="H52" s="271" t="s">
        <v>311</v>
      </c>
      <c r="J52" s="276" t="s">
        <v>259</v>
      </c>
      <c r="K52" s="697" t="str">
        <f t="shared" si="0"/>
        <v>1000</v>
      </c>
      <c r="L52" s="698">
        <v>6287</v>
      </c>
      <c r="M52" s="697" t="str">
        <f t="shared" si="1"/>
        <v>000</v>
      </c>
      <c r="N52" s="276" t="s">
        <v>814</v>
      </c>
    </row>
    <row r="53" spans="1:14" x14ac:dyDescent="0.2">
      <c r="A53" s="270" t="s">
        <v>249</v>
      </c>
      <c r="B53" s="270" t="s">
        <v>310</v>
      </c>
      <c r="C53" s="270" t="s">
        <v>311</v>
      </c>
      <c r="D53" s="696" t="str">
        <f t="shared" si="4"/>
        <v>100-100-1000-6297-000-32-05</v>
      </c>
      <c r="E53" s="270" t="s">
        <v>312</v>
      </c>
      <c r="F53" s="696">
        <f t="shared" si="3"/>
        <v>0</v>
      </c>
      <c r="G53" s="696" t="e">
        <f>VLOOKUP(L53,'Function-Grant'!$C:$AM,4,'Function-Grant'!$C:$AM)</f>
        <v>#N/A</v>
      </c>
      <c r="H53" s="271" t="s">
        <v>311</v>
      </c>
      <c r="J53" s="276" t="s">
        <v>259</v>
      </c>
      <c r="K53" s="697" t="str">
        <f t="shared" si="0"/>
        <v>1000</v>
      </c>
      <c r="L53" s="698">
        <v>6297</v>
      </c>
      <c r="M53" s="697" t="str">
        <f t="shared" si="1"/>
        <v>000</v>
      </c>
      <c r="N53" s="276" t="s">
        <v>814</v>
      </c>
    </row>
    <row r="54" spans="1:14" x14ac:dyDescent="0.2">
      <c r="A54" s="270" t="s">
        <v>249</v>
      </c>
      <c r="B54" s="270" t="s">
        <v>310</v>
      </c>
      <c r="C54" s="270" t="s">
        <v>311</v>
      </c>
      <c r="D54" s="696" t="str">
        <f t="shared" si="4"/>
        <v>100-100-1000-6300-000-32-05</v>
      </c>
      <c r="E54" s="270" t="s">
        <v>312</v>
      </c>
      <c r="F54" s="696">
        <f t="shared" si="3"/>
        <v>17565</v>
      </c>
      <c r="G54" s="696">
        <f>VLOOKUP(L54,'Function-Grant'!$C:$AM,4,'Function-Grant'!$C:$AM)</f>
        <v>17565</v>
      </c>
      <c r="H54" s="271" t="s">
        <v>311</v>
      </c>
      <c r="J54" s="276" t="s">
        <v>259</v>
      </c>
      <c r="K54" s="697" t="str">
        <f t="shared" si="0"/>
        <v>1000</v>
      </c>
      <c r="L54" s="698">
        <v>6300</v>
      </c>
      <c r="M54" s="697" t="str">
        <f t="shared" si="1"/>
        <v>000</v>
      </c>
      <c r="N54" s="276" t="s">
        <v>814</v>
      </c>
    </row>
    <row r="55" spans="1:14" x14ac:dyDescent="0.2">
      <c r="A55" s="270" t="s">
        <v>249</v>
      </c>
      <c r="B55" s="270" t="s">
        <v>310</v>
      </c>
      <c r="C55" s="270" t="s">
        <v>311</v>
      </c>
      <c r="D55" s="696" t="str">
        <f t="shared" si="4"/>
        <v>100-100-1000-6300-709-32-05</v>
      </c>
      <c r="E55" s="270" t="s">
        <v>312</v>
      </c>
      <c r="F55" s="696">
        <f t="shared" si="3"/>
        <v>7000</v>
      </c>
      <c r="G55" s="696">
        <f>VLOOKUP(L55,'Function-Grant'!$C:$AM,34,'Function-Grant'!$C:$AM)</f>
        <v>7000</v>
      </c>
      <c r="H55" s="271" t="s">
        <v>311</v>
      </c>
      <c r="J55" s="276" t="s">
        <v>288</v>
      </c>
      <c r="K55" s="697" t="str">
        <f t="shared" si="0"/>
        <v>1000</v>
      </c>
      <c r="L55" s="698">
        <v>6300</v>
      </c>
      <c r="M55" s="697" t="str">
        <f t="shared" si="1"/>
        <v>709</v>
      </c>
      <c r="N55" s="276" t="s">
        <v>814</v>
      </c>
    </row>
    <row r="56" spans="1:14" x14ac:dyDescent="0.2">
      <c r="A56" s="270" t="s">
        <v>249</v>
      </c>
      <c r="B56" s="270" t="s">
        <v>310</v>
      </c>
      <c r="C56" s="270" t="s">
        <v>311</v>
      </c>
      <c r="D56" s="696" t="str">
        <f t="shared" si="4"/>
        <v>100-100-1000-6320-000-32-05</v>
      </c>
      <c r="E56" s="270" t="s">
        <v>312</v>
      </c>
      <c r="F56" s="696">
        <f t="shared" si="3"/>
        <v>0</v>
      </c>
      <c r="G56" s="696">
        <f>VLOOKUP(L56,'Function-Grant'!$C:$AM,4,'Function-Grant'!$C:$AM)</f>
        <v>0</v>
      </c>
      <c r="H56" s="271" t="s">
        <v>311</v>
      </c>
      <c r="J56" s="276" t="s">
        <v>259</v>
      </c>
      <c r="K56" s="697" t="str">
        <f t="shared" si="0"/>
        <v>1000</v>
      </c>
      <c r="L56" s="698">
        <v>6320</v>
      </c>
      <c r="M56" s="697" t="str">
        <f t="shared" si="1"/>
        <v>000</v>
      </c>
      <c r="N56" s="276" t="s">
        <v>814</v>
      </c>
    </row>
    <row r="57" spans="1:14" x14ac:dyDescent="0.2">
      <c r="A57" s="270" t="s">
        <v>249</v>
      </c>
      <c r="B57" s="270" t="s">
        <v>310</v>
      </c>
      <c r="C57" s="270" t="s">
        <v>311</v>
      </c>
      <c r="D57" s="696" t="str">
        <f t="shared" si="4"/>
        <v>100-100-1000-6331-709-32-05</v>
      </c>
      <c r="E57" s="270" t="s">
        <v>312</v>
      </c>
      <c r="F57" s="696">
        <f t="shared" si="3"/>
        <v>2000</v>
      </c>
      <c r="G57" s="696">
        <f>VLOOKUP(L57,'Function-Grant'!$C:$AM,34,'Function-Grant'!$C:$AM)</f>
        <v>2000</v>
      </c>
      <c r="H57" s="271" t="s">
        <v>311</v>
      </c>
      <c r="J57" s="276" t="s">
        <v>288</v>
      </c>
      <c r="K57" s="697" t="str">
        <f t="shared" si="0"/>
        <v>1000</v>
      </c>
      <c r="L57" s="698">
        <v>6331</v>
      </c>
      <c r="M57" s="697" t="str">
        <f t="shared" si="1"/>
        <v>709</v>
      </c>
      <c r="N57" s="276" t="s">
        <v>814</v>
      </c>
    </row>
    <row r="58" spans="1:14" x14ac:dyDescent="0.2">
      <c r="A58" s="270" t="s">
        <v>249</v>
      </c>
      <c r="B58" s="270" t="s">
        <v>310</v>
      </c>
      <c r="C58" s="270" t="s">
        <v>311</v>
      </c>
      <c r="D58" s="696" t="str">
        <f t="shared" si="4"/>
        <v>100-100-1000-6331-000-32-05</v>
      </c>
      <c r="E58" s="270" t="s">
        <v>312</v>
      </c>
      <c r="F58" s="696">
        <f t="shared" si="3"/>
        <v>0</v>
      </c>
      <c r="G58" s="696">
        <f>VLOOKUP(L58,'Function-Grant'!$C:$AM,4,'Function-Grant'!$C:$AM)</f>
        <v>0</v>
      </c>
      <c r="H58" s="271" t="s">
        <v>311</v>
      </c>
      <c r="J58" s="276" t="s">
        <v>259</v>
      </c>
      <c r="K58" s="697" t="str">
        <f t="shared" si="0"/>
        <v>1000</v>
      </c>
      <c r="L58" s="698">
        <v>6331</v>
      </c>
      <c r="M58" s="697" t="str">
        <f t="shared" si="1"/>
        <v>000</v>
      </c>
      <c r="N58" s="276" t="s">
        <v>814</v>
      </c>
    </row>
    <row r="59" spans="1:14" x14ac:dyDescent="0.2">
      <c r="A59" s="270" t="s">
        <v>249</v>
      </c>
      <c r="B59" s="270" t="s">
        <v>310</v>
      </c>
      <c r="C59" s="270" t="s">
        <v>311</v>
      </c>
      <c r="D59" s="696" t="str">
        <f t="shared" si="4"/>
        <v>100-100-1000-6333-000-32-05</v>
      </c>
      <c r="E59" s="270" t="s">
        <v>312</v>
      </c>
      <c r="F59" s="696">
        <f t="shared" si="3"/>
        <v>0</v>
      </c>
      <c r="G59" s="696" t="e">
        <f>VLOOKUP(L59,'Function-Grant'!$C:$AM,4,'Function-Grant'!$C:$AM)</f>
        <v>#N/A</v>
      </c>
      <c r="H59" s="271" t="s">
        <v>311</v>
      </c>
      <c r="J59" s="276" t="s">
        <v>259</v>
      </c>
      <c r="K59" s="697" t="str">
        <f t="shared" si="0"/>
        <v>1000</v>
      </c>
      <c r="L59" s="698">
        <v>6333</v>
      </c>
      <c r="M59" s="697" t="str">
        <f t="shared" si="1"/>
        <v>000</v>
      </c>
      <c r="N59" s="276" t="s">
        <v>814</v>
      </c>
    </row>
    <row r="60" spans="1:14" x14ac:dyDescent="0.2">
      <c r="A60" s="270" t="s">
        <v>249</v>
      </c>
      <c r="B60" s="270" t="s">
        <v>310</v>
      </c>
      <c r="C60" s="270" t="s">
        <v>311</v>
      </c>
      <c r="D60" s="696" t="str">
        <f t="shared" si="4"/>
        <v>100-100-1000-6336-000-32-05</v>
      </c>
      <c r="E60" s="270" t="s">
        <v>312</v>
      </c>
      <c r="F60" s="696">
        <f t="shared" si="3"/>
        <v>0</v>
      </c>
      <c r="G60" s="696">
        <f>VLOOKUP(L60,'Function-Grant'!$C:$AM,4,'Function-Grant'!$C:$AM)</f>
        <v>0</v>
      </c>
      <c r="H60" s="271" t="s">
        <v>311</v>
      </c>
      <c r="J60" s="276" t="s">
        <v>259</v>
      </c>
      <c r="K60" s="697" t="str">
        <f t="shared" si="0"/>
        <v>1000</v>
      </c>
      <c r="L60" s="698">
        <v>6336</v>
      </c>
      <c r="M60" s="697" t="str">
        <f t="shared" si="1"/>
        <v>000</v>
      </c>
      <c r="N60" s="276" t="s">
        <v>814</v>
      </c>
    </row>
    <row r="61" spans="1:14" x14ac:dyDescent="0.2">
      <c r="A61" s="270" t="s">
        <v>249</v>
      </c>
      <c r="B61" s="270" t="s">
        <v>310</v>
      </c>
      <c r="C61" s="270" t="s">
        <v>311</v>
      </c>
      <c r="D61" s="696" t="str">
        <f t="shared" si="4"/>
        <v>100-100-1000-6337-000-32-05</v>
      </c>
      <c r="E61" s="270" t="s">
        <v>312</v>
      </c>
      <c r="F61" s="696">
        <f t="shared" si="3"/>
        <v>0</v>
      </c>
      <c r="G61" s="696">
        <f>VLOOKUP(L61,'Function-Grant'!$C:$AM,4,'Function-Grant'!$C:$AM)</f>
        <v>0</v>
      </c>
      <c r="H61" s="271" t="s">
        <v>311</v>
      </c>
      <c r="J61" s="276" t="s">
        <v>259</v>
      </c>
      <c r="K61" s="697" t="str">
        <f t="shared" si="0"/>
        <v>1000</v>
      </c>
      <c r="L61" s="698">
        <v>6337</v>
      </c>
      <c r="M61" s="697" t="str">
        <f t="shared" si="1"/>
        <v>000</v>
      </c>
      <c r="N61" s="276" t="s">
        <v>814</v>
      </c>
    </row>
    <row r="62" spans="1:14" x14ac:dyDescent="0.2">
      <c r="A62" s="270" t="s">
        <v>249</v>
      </c>
      <c r="B62" s="270" t="s">
        <v>310</v>
      </c>
      <c r="C62" s="270" t="s">
        <v>311</v>
      </c>
      <c r="D62" s="696" t="str">
        <f t="shared" si="4"/>
        <v>100-100-1000-6340-000-32-05</v>
      </c>
      <c r="E62" s="270" t="s">
        <v>312</v>
      </c>
      <c r="F62" s="696">
        <f t="shared" si="3"/>
        <v>0</v>
      </c>
      <c r="G62" s="696">
        <f>VLOOKUP(L62,'Function-Grant'!$C:$AM,4,'Function-Grant'!$C:$AM)</f>
        <v>0</v>
      </c>
      <c r="H62" s="271" t="s">
        <v>311</v>
      </c>
      <c r="J62" s="276" t="s">
        <v>259</v>
      </c>
      <c r="K62" s="697" t="str">
        <f t="shared" si="0"/>
        <v>1000</v>
      </c>
      <c r="L62" s="698">
        <v>6340</v>
      </c>
      <c r="M62" s="697" t="str">
        <f t="shared" si="1"/>
        <v>000</v>
      </c>
      <c r="N62" s="276" t="s">
        <v>814</v>
      </c>
    </row>
    <row r="63" spans="1:14" x14ac:dyDescent="0.2">
      <c r="A63" s="270" t="s">
        <v>249</v>
      </c>
      <c r="B63" s="270" t="s">
        <v>310</v>
      </c>
      <c r="C63" s="270" t="s">
        <v>311</v>
      </c>
      <c r="D63" s="696" t="str">
        <f t="shared" si="4"/>
        <v>100-100-1000-6345-000-32-05</v>
      </c>
      <c r="E63" s="270" t="s">
        <v>312</v>
      </c>
      <c r="F63" s="696">
        <f t="shared" si="3"/>
        <v>0</v>
      </c>
      <c r="G63" s="696">
        <f>VLOOKUP(L63,'Function-Grant'!$C:$AM,4,'Function-Grant'!$C:$AM)</f>
        <v>0</v>
      </c>
      <c r="H63" s="271" t="s">
        <v>311</v>
      </c>
      <c r="J63" s="276" t="s">
        <v>259</v>
      </c>
      <c r="K63" s="697" t="str">
        <f t="shared" si="0"/>
        <v>1000</v>
      </c>
      <c r="L63" s="698">
        <v>6345</v>
      </c>
      <c r="M63" s="697" t="str">
        <f t="shared" si="1"/>
        <v>000</v>
      </c>
      <c r="N63" s="276" t="s">
        <v>814</v>
      </c>
    </row>
    <row r="64" spans="1:14" x14ac:dyDescent="0.2">
      <c r="A64" s="270" t="s">
        <v>249</v>
      </c>
      <c r="B64" s="270" t="s">
        <v>310</v>
      </c>
      <c r="C64" s="270" t="s">
        <v>311</v>
      </c>
      <c r="D64" s="696" t="str">
        <f t="shared" si="4"/>
        <v>100-100-1000-6350-000-32-05</v>
      </c>
      <c r="E64" s="270" t="s">
        <v>312</v>
      </c>
      <c r="F64" s="696">
        <f t="shared" si="3"/>
        <v>0</v>
      </c>
      <c r="G64" s="696">
        <f>VLOOKUP(L64,'Function-Grant'!$C:$AM,4,'Function-Grant'!$C:$AM)</f>
        <v>0</v>
      </c>
      <c r="H64" s="271" t="s">
        <v>311</v>
      </c>
      <c r="J64" s="276" t="s">
        <v>259</v>
      </c>
      <c r="K64" s="697" t="str">
        <f t="shared" si="0"/>
        <v>1000</v>
      </c>
      <c r="L64" s="698">
        <v>6350</v>
      </c>
      <c r="M64" s="697" t="str">
        <f t="shared" si="1"/>
        <v>000</v>
      </c>
      <c r="N64" s="276" t="s">
        <v>814</v>
      </c>
    </row>
    <row r="65" spans="1:14" x14ac:dyDescent="0.2">
      <c r="A65" s="270" t="s">
        <v>249</v>
      </c>
      <c r="B65" s="270" t="s">
        <v>310</v>
      </c>
      <c r="C65" s="270" t="s">
        <v>311</v>
      </c>
      <c r="D65" s="696" t="str">
        <f t="shared" si="4"/>
        <v>100-100-1000-6351-000-32-05</v>
      </c>
      <c r="E65" s="270" t="s">
        <v>312</v>
      </c>
      <c r="F65" s="696">
        <f t="shared" si="3"/>
        <v>0</v>
      </c>
      <c r="G65" s="696">
        <f>VLOOKUP(L65,'Function-Grant'!$C:$AM,4,'Function-Grant'!$C:$AM)</f>
        <v>0</v>
      </c>
      <c r="H65" s="271" t="s">
        <v>311</v>
      </c>
      <c r="J65" s="276" t="s">
        <v>259</v>
      </c>
      <c r="K65" s="697" t="str">
        <f t="shared" si="0"/>
        <v>1000</v>
      </c>
      <c r="L65" s="698">
        <v>6351</v>
      </c>
      <c r="M65" s="697" t="str">
        <f t="shared" si="1"/>
        <v>000</v>
      </c>
      <c r="N65" s="276" t="s">
        <v>814</v>
      </c>
    </row>
    <row r="66" spans="1:14" x14ac:dyDescent="0.2">
      <c r="A66" s="270" t="s">
        <v>249</v>
      </c>
      <c r="B66" s="270" t="s">
        <v>310</v>
      </c>
      <c r="C66" s="270" t="s">
        <v>311</v>
      </c>
      <c r="D66" s="696" t="str">
        <f t="shared" si="4"/>
        <v>100-100-1000-6410-000-32-05</v>
      </c>
      <c r="E66" s="270" t="s">
        <v>312</v>
      </c>
      <c r="F66" s="696">
        <f t="shared" si="3"/>
        <v>0</v>
      </c>
      <c r="G66" s="696">
        <f>VLOOKUP(L66,'Function-Grant'!$C:$AM,4,'Function-Grant'!$C:$AM)</f>
        <v>0</v>
      </c>
      <c r="H66" s="271" t="s">
        <v>311</v>
      </c>
      <c r="J66" s="276" t="s">
        <v>259</v>
      </c>
      <c r="K66" s="697" t="str">
        <f t="shared" si="0"/>
        <v>1000</v>
      </c>
      <c r="L66" s="698">
        <v>6410</v>
      </c>
      <c r="M66" s="697" t="str">
        <f t="shared" si="1"/>
        <v>000</v>
      </c>
      <c r="N66" s="276" t="s">
        <v>814</v>
      </c>
    </row>
    <row r="67" spans="1:14" x14ac:dyDescent="0.2">
      <c r="A67" s="270" t="s">
        <v>249</v>
      </c>
      <c r="B67" s="270" t="s">
        <v>310</v>
      </c>
      <c r="C67" s="270" t="s">
        <v>311</v>
      </c>
      <c r="D67" s="696" t="str">
        <f t="shared" si="4"/>
        <v>100-100-1000-6420-000-32-05</v>
      </c>
      <c r="E67" s="270" t="s">
        <v>312</v>
      </c>
      <c r="F67" s="696">
        <f t="shared" si="3"/>
        <v>0</v>
      </c>
      <c r="G67" s="696">
        <f>VLOOKUP(L67,'Function-Grant'!$C:$AM,4,'Function-Grant'!$C:$AM)</f>
        <v>0</v>
      </c>
      <c r="H67" s="271" t="s">
        <v>311</v>
      </c>
      <c r="J67" s="276" t="s">
        <v>259</v>
      </c>
      <c r="K67" s="697" t="str">
        <f t="shared" si="0"/>
        <v>1000</v>
      </c>
      <c r="L67" s="698">
        <v>6420</v>
      </c>
      <c r="M67" s="697" t="str">
        <f t="shared" si="1"/>
        <v>000</v>
      </c>
      <c r="N67" s="276" t="s">
        <v>814</v>
      </c>
    </row>
    <row r="68" spans="1:14" x14ac:dyDescent="0.2">
      <c r="A68" s="270" t="s">
        <v>249</v>
      </c>
      <c r="B68" s="270" t="s">
        <v>310</v>
      </c>
      <c r="C68" s="270" t="s">
        <v>311</v>
      </c>
      <c r="D68" s="696" t="str">
        <f t="shared" si="4"/>
        <v>100-100-1000-6430-000-32-05</v>
      </c>
      <c r="E68" s="270" t="s">
        <v>312</v>
      </c>
      <c r="F68" s="696">
        <f t="shared" si="3"/>
        <v>0</v>
      </c>
      <c r="G68" s="696">
        <f>VLOOKUP(L68,'Function-Grant'!$C:$AM,4,'Function-Grant'!$C:$AM)</f>
        <v>0</v>
      </c>
      <c r="H68" s="271" t="s">
        <v>311</v>
      </c>
      <c r="J68" s="276" t="s">
        <v>259</v>
      </c>
      <c r="K68" s="697" t="str">
        <f t="shared" si="0"/>
        <v>1000</v>
      </c>
      <c r="L68" s="698">
        <v>6430</v>
      </c>
      <c r="M68" s="697" t="str">
        <f t="shared" si="1"/>
        <v>000</v>
      </c>
      <c r="N68" s="276" t="s">
        <v>814</v>
      </c>
    </row>
    <row r="69" spans="1:14" x14ac:dyDescent="0.2">
      <c r="A69" s="270" t="s">
        <v>249</v>
      </c>
      <c r="B69" s="270" t="s">
        <v>310</v>
      </c>
      <c r="C69" s="270" t="s">
        <v>311</v>
      </c>
      <c r="D69" s="696" t="str">
        <f t="shared" si="4"/>
        <v>100-100-1000-6441-000-32-05</v>
      </c>
      <c r="E69" s="270" t="s">
        <v>312</v>
      </c>
      <c r="F69" s="696">
        <f t="shared" si="3"/>
        <v>41200</v>
      </c>
      <c r="G69" s="696">
        <f>VLOOKUP(L69,'Function-Grant'!$C:$AM,4,'Function-Grant'!$C:$AM)</f>
        <v>41200</v>
      </c>
      <c r="H69" s="271" t="s">
        <v>311</v>
      </c>
      <c r="J69" s="276" t="s">
        <v>259</v>
      </c>
      <c r="K69" s="697" t="str">
        <f t="shared" ref="K69:K133" si="5">LEFT(J69,4)</f>
        <v>1000</v>
      </c>
      <c r="L69" s="698">
        <v>6441</v>
      </c>
      <c r="M69" s="697" t="str">
        <f t="shared" ref="M69:M133" si="6">RIGHT(J69,3)</f>
        <v>000</v>
      </c>
      <c r="N69" s="276" t="s">
        <v>814</v>
      </c>
    </row>
    <row r="70" spans="1:14" x14ac:dyDescent="0.2">
      <c r="A70" s="270" t="s">
        <v>249</v>
      </c>
      <c r="B70" s="270" t="s">
        <v>310</v>
      </c>
      <c r="C70" s="270" t="s">
        <v>311</v>
      </c>
      <c r="D70" s="696" t="str">
        <f t="shared" si="4"/>
        <v>100-100-1000-6519-000-32-05</v>
      </c>
      <c r="E70" s="270" t="s">
        <v>312</v>
      </c>
      <c r="F70" s="696">
        <f t="shared" si="3"/>
        <v>0</v>
      </c>
      <c r="G70" s="696">
        <f>VLOOKUP(L70,'Function-Grant'!$C:$AM,4,'Function-Grant'!$C:$AM)</f>
        <v>0</v>
      </c>
      <c r="H70" s="271" t="s">
        <v>311</v>
      </c>
      <c r="J70" s="276" t="s">
        <v>259</v>
      </c>
      <c r="K70" s="697" t="str">
        <f t="shared" si="5"/>
        <v>1000</v>
      </c>
      <c r="L70" s="698">
        <v>6519</v>
      </c>
      <c r="M70" s="697" t="str">
        <f t="shared" si="6"/>
        <v>000</v>
      </c>
      <c r="N70" s="276" t="s">
        <v>814</v>
      </c>
    </row>
    <row r="71" spans="1:14" x14ac:dyDescent="0.2">
      <c r="A71" s="270" t="s">
        <v>249</v>
      </c>
      <c r="B71" s="270" t="s">
        <v>310</v>
      </c>
      <c r="C71" s="270" t="s">
        <v>311</v>
      </c>
      <c r="D71" s="696" t="str">
        <f t="shared" si="4"/>
        <v>100-100-1000-6521-000-32-05</v>
      </c>
      <c r="E71" s="270" t="s">
        <v>312</v>
      </c>
      <c r="F71" s="696">
        <f t="shared" si="3"/>
        <v>1780.0000000000002</v>
      </c>
      <c r="G71" s="696">
        <f>VLOOKUP(L71,'Function-Grant'!$C:$AM,4,'Function-Grant'!$C:$AM)</f>
        <v>1780.0000000000002</v>
      </c>
      <c r="H71" s="271" t="s">
        <v>311</v>
      </c>
      <c r="J71" s="276" t="s">
        <v>259</v>
      </c>
      <c r="K71" s="697" t="str">
        <f t="shared" si="5"/>
        <v>1000</v>
      </c>
      <c r="L71" s="698">
        <v>6521</v>
      </c>
      <c r="M71" s="697" t="str">
        <f t="shared" si="6"/>
        <v>000</v>
      </c>
      <c r="N71" s="276" t="s">
        <v>814</v>
      </c>
    </row>
    <row r="72" spans="1:14" x14ac:dyDescent="0.2">
      <c r="A72" s="270" t="s">
        <v>249</v>
      </c>
      <c r="B72" s="270" t="s">
        <v>310</v>
      </c>
      <c r="C72" s="270" t="s">
        <v>311</v>
      </c>
      <c r="D72" s="696" t="str">
        <f t="shared" si="4"/>
        <v>100-100-1000-6522-000-32-05</v>
      </c>
      <c r="E72" s="270" t="s">
        <v>312</v>
      </c>
      <c r="F72" s="696">
        <f t="shared" ref="F72:F220" si="7">IFERROR(G72,0)</f>
        <v>30167.000000000004</v>
      </c>
      <c r="G72" s="696">
        <f>VLOOKUP(L72,'Function-Grant'!$C:$AM,4,'Function-Grant'!$C:$AM)</f>
        <v>30167.000000000004</v>
      </c>
      <c r="H72" s="271" t="s">
        <v>311</v>
      </c>
      <c r="J72" s="276" t="s">
        <v>259</v>
      </c>
      <c r="K72" s="697" t="str">
        <f t="shared" si="5"/>
        <v>1000</v>
      </c>
      <c r="L72" s="698">
        <v>6522</v>
      </c>
      <c r="M72" s="697" t="str">
        <f t="shared" si="6"/>
        <v>000</v>
      </c>
      <c r="N72" s="276" t="s">
        <v>814</v>
      </c>
    </row>
    <row r="73" spans="1:14" x14ac:dyDescent="0.2">
      <c r="A73" s="270" t="s">
        <v>249</v>
      </c>
      <c r="B73" s="270" t="s">
        <v>310</v>
      </c>
      <c r="C73" s="270" t="s">
        <v>311</v>
      </c>
      <c r="D73" s="696" t="str">
        <f t="shared" si="4"/>
        <v>100-100-1000-6523-000-32-05</v>
      </c>
      <c r="E73" s="270" t="s">
        <v>312</v>
      </c>
      <c r="F73" s="696">
        <f t="shared" si="7"/>
        <v>14395.999999999998</v>
      </c>
      <c r="G73" s="696">
        <f>VLOOKUP(L73,'Function-Grant'!$C:$AM,4,'Function-Grant'!$C:$AM)</f>
        <v>14395.999999999998</v>
      </c>
      <c r="H73" s="271" t="s">
        <v>311</v>
      </c>
      <c r="J73" s="276" t="s">
        <v>259</v>
      </c>
      <c r="K73" s="697" t="str">
        <f t="shared" si="5"/>
        <v>1000</v>
      </c>
      <c r="L73" s="698">
        <v>6523</v>
      </c>
      <c r="M73" s="697" t="str">
        <f t="shared" si="6"/>
        <v>000</v>
      </c>
      <c r="N73" s="276" t="s">
        <v>814</v>
      </c>
    </row>
    <row r="74" spans="1:14" x14ac:dyDescent="0.2">
      <c r="A74" s="270" t="s">
        <v>249</v>
      </c>
      <c r="B74" s="270" t="s">
        <v>310</v>
      </c>
      <c r="C74" s="270" t="s">
        <v>311</v>
      </c>
      <c r="D74" s="696" t="str">
        <f t="shared" si="4"/>
        <v>100-100-1000-6531-000-32-05</v>
      </c>
      <c r="E74" s="270" t="s">
        <v>312</v>
      </c>
      <c r="F74" s="696">
        <f t="shared" si="7"/>
        <v>0</v>
      </c>
      <c r="G74" s="696">
        <f>VLOOKUP(L74,'Function-Grant'!$C:$AM,4,'Function-Grant'!$C:$AM)</f>
        <v>0</v>
      </c>
      <c r="H74" s="271" t="s">
        <v>311</v>
      </c>
      <c r="J74" s="276" t="s">
        <v>259</v>
      </c>
      <c r="K74" s="697" t="str">
        <f t="shared" si="5"/>
        <v>1000</v>
      </c>
      <c r="L74" s="698">
        <v>6531</v>
      </c>
      <c r="M74" s="697" t="str">
        <f t="shared" si="6"/>
        <v>000</v>
      </c>
      <c r="N74" s="276" t="s">
        <v>814</v>
      </c>
    </row>
    <row r="75" spans="1:14" x14ac:dyDescent="0.2">
      <c r="A75" s="270" t="s">
        <v>249</v>
      </c>
      <c r="B75" s="270" t="s">
        <v>310</v>
      </c>
      <c r="C75" s="270" t="s">
        <v>311</v>
      </c>
      <c r="D75" s="696" t="str">
        <f t="shared" si="4"/>
        <v>100-100-1000-6533-000-32-05</v>
      </c>
      <c r="E75" s="270" t="s">
        <v>312</v>
      </c>
      <c r="F75" s="696">
        <f t="shared" si="7"/>
        <v>0</v>
      </c>
      <c r="G75" s="696" t="e">
        <f>VLOOKUP(L75,'Function-Grant'!$C:$AM,4,'Function-Grant'!$C:$AM)</f>
        <v>#N/A</v>
      </c>
      <c r="H75" s="271" t="s">
        <v>311</v>
      </c>
      <c r="J75" s="276" t="s">
        <v>259</v>
      </c>
      <c r="K75" s="697" t="str">
        <f t="shared" si="5"/>
        <v>1000</v>
      </c>
      <c r="L75" s="698">
        <v>6533</v>
      </c>
      <c r="M75" s="697" t="str">
        <f t="shared" si="6"/>
        <v>000</v>
      </c>
      <c r="N75" s="276" t="s">
        <v>814</v>
      </c>
    </row>
    <row r="76" spans="1:14" x14ac:dyDescent="0.2">
      <c r="A76" s="270" t="s">
        <v>249</v>
      </c>
      <c r="B76" s="270" t="s">
        <v>310</v>
      </c>
      <c r="C76" s="270" t="s">
        <v>311</v>
      </c>
      <c r="D76" s="696" t="str">
        <f t="shared" si="4"/>
        <v>100-100-1000-6534-000-32-05</v>
      </c>
      <c r="E76" s="270" t="s">
        <v>312</v>
      </c>
      <c r="F76" s="696">
        <f t="shared" si="7"/>
        <v>0</v>
      </c>
      <c r="G76" s="696">
        <f>VLOOKUP(L76,'Function-Grant'!$C:$AM,4,'Function-Grant'!$C:$AM)</f>
        <v>0</v>
      </c>
      <c r="H76" s="271" t="s">
        <v>311</v>
      </c>
      <c r="J76" s="276" t="s">
        <v>259</v>
      </c>
      <c r="K76" s="697" t="str">
        <f t="shared" si="5"/>
        <v>1000</v>
      </c>
      <c r="L76" s="698">
        <v>6534</v>
      </c>
      <c r="M76" s="697" t="str">
        <f t="shared" si="6"/>
        <v>000</v>
      </c>
      <c r="N76" s="276" t="s">
        <v>814</v>
      </c>
    </row>
    <row r="77" spans="1:14" x14ac:dyDescent="0.2">
      <c r="A77" s="270" t="s">
        <v>249</v>
      </c>
      <c r="B77" s="270" t="s">
        <v>310</v>
      </c>
      <c r="C77" s="270" t="s">
        <v>311</v>
      </c>
      <c r="D77" s="696" t="str">
        <f t="shared" si="4"/>
        <v>100-100-1000-6535-000-32-05</v>
      </c>
      <c r="E77" s="270" t="s">
        <v>312</v>
      </c>
      <c r="F77" s="696">
        <f t="shared" si="7"/>
        <v>0</v>
      </c>
      <c r="G77" s="696">
        <f>VLOOKUP(L77,'Function-Grant'!$C:$AM,4,'Function-Grant'!$C:$AM)</f>
        <v>0</v>
      </c>
      <c r="H77" s="271" t="s">
        <v>311</v>
      </c>
      <c r="J77" s="276" t="s">
        <v>259</v>
      </c>
      <c r="K77" s="697" t="str">
        <f t="shared" si="5"/>
        <v>1000</v>
      </c>
      <c r="L77" s="698">
        <v>6535</v>
      </c>
      <c r="M77" s="697" t="str">
        <f t="shared" si="6"/>
        <v>000</v>
      </c>
      <c r="N77" s="276" t="s">
        <v>814</v>
      </c>
    </row>
    <row r="78" spans="1:14" x14ac:dyDescent="0.2">
      <c r="A78" s="270" t="s">
        <v>249</v>
      </c>
      <c r="B78" s="270" t="s">
        <v>310</v>
      </c>
      <c r="C78" s="270" t="s">
        <v>311</v>
      </c>
      <c r="D78" s="696" t="str">
        <f t="shared" si="4"/>
        <v>100-100-1000-6540-000-32-05</v>
      </c>
      <c r="E78" s="270" t="s">
        <v>312</v>
      </c>
      <c r="F78" s="696">
        <f t="shared" si="7"/>
        <v>0</v>
      </c>
      <c r="G78" s="696">
        <f>VLOOKUP(L78,'Function-Grant'!$C:$AM,4,'Function-Grant'!$C:$AM)</f>
        <v>0</v>
      </c>
      <c r="H78" s="271" t="s">
        <v>311</v>
      </c>
      <c r="J78" s="276" t="s">
        <v>259</v>
      </c>
      <c r="K78" s="697" t="str">
        <f t="shared" si="5"/>
        <v>1000</v>
      </c>
      <c r="L78" s="698">
        <v>6540</v>
      </c>
      <c r="M78" s="697" t="str">
        <f t="shared" si="6"/>
        <v>000</v>
      </c>
      <c r="N78" s="276" t="s">
        <v>814</v>
      </c>
    </row>
    <row r="79" spans="1:14" x14ac:dyDescent="0.2">
      <c r="A79" s="270" t="s">
        <v>249</v>
      </c>
      <c r="B79" s="270" t="s">
        <v>310</v>
      </c>
      <c r="C79" s="270" t="s">
        <v>311</v>
      </c>
      <c r="D79" s="696" t="str">
        <f t="shared" si="4"/>
        <v>100-100-1000-6550-000-32-05</v>
      </c>
      <c r="E79" s="270" t="s">
        <v>312</v>
      </c>
      <c r="F79" s="696">
        <f t="shared" si="7"/>
        <v>0</v>
      </c>
      <c r="G79" s="696">
        <f>VLOOKUP(L79,'Function-Grant'!$C:$AM,4,'Function-Grant'!$C:$AM)</f>
        <v>0</v>
      </c>
      <c r="H79" s="271" t="s">
        <v>311</v>
      </c>
      <c r="J79" s="276" t="s">
        <v>259</v>
      </c>
      <c r="K79" s="697" t="str">
        <f t="shared" si="5"/>
        <v>1000</v>
      </c>
      <c r="L79" s="698">
        <v>6550</v>
      </c>
      <c r="M79" s="697" t="str">
        <f t="shared" si="6"/>
        <v>000</v>
      </c>
      <c r="N79" s="276" t="s">
        <v>814</v>
      </c>
    </row>
    <row r="80" spans="1:14" x14ac:dyDescent="0.2">
      <c r="A80" s="270" t="s">
        <v>249</v>
      </c>
      <c r="B80" s="270" t="s">
        <v>310</v>
      </c>
      <c r="C80" s="270" t="s">
        <v>311</v>
      </c>
      <c r="D80" s="696" t="str">
        <f t="shared" si="4"/>
        <v>100-100-1000-6568-000-32-05</v>
      </c>
      <c r="E80" s="270" t="s">
        <v>312</v>
      </c>
      <c r="F80" s="696">
        <f t="shared" si="7"/>
        <v>0</v>
      </c>
      <c r="G80" s="696">
        <f>VLOOKUP(L80,'Function-Grant'!$C:$AM,4,'Function-Grant'!$C:$AM)</f>
        <v>0</v>
      </c>
      <c r="H80" s="271" t="s">
        <v>311</v>
      </c>
      <c r="J80" s="276" t="s">
        <v>259</v>
      </c>
      <c r="K80" s="697" t="str">
        <f t="shared" si="5"/>
        <v>1000</v>
      </c>
      <c r="L80" s="698">
        <v>6568</v>
      </c>
      <c r="M80" s="697" t="str">
        <f t="shared" si="6"/>
        <v>000</v>
      </c>
      <c r="N80" s="276" t="s">
        <v>814</v>
      </c>
    </row>
    <row r="81" spans="1:14" x14ac:dyDescent="0.2">
      <c r="A81" s="270" t="s">
        <v>249</v>
      </c>
      <c r="B81" s="270" t="s">
        <v>310</v>
      </c>
      <c r="C81" s="270" t="s">
        <v>311</v>
      </c>
      <c r="D81" s="696" t="str">
        <f t="shared" si="4"/>
        <v>100-100-1000-6569-000-32-05</v>
      </c>
      <c r="E81" s="270" t="s">
        <v>312</v>
      </c>
      <c r="F81" s="696">
        <f t="shared" si="7"/>
        <v>0</v>
      </c>
      <c r="G81" s="696">
        <f>VLOOKUP(L81,'Function-Grant'!$C:$AM,4,'Function-Grant'!$C:$AM)</f>
        <v>0</v>
      </c>
      <c r="H81" s="271" t="s">
        <v>311</v>
      </c>
      <c r="J81" s="276" t="s">
        <v>259</v>
      </c>
      <c r="K81" s="697" t="str">
        <f t="shared" si="5"/>
        <v>1000</v>
      </c>
      <c r="L81" s="698">
        <v>6569</v>
      </c>
      <c r="M81" s="697" t="str">
        <f t="shared" si="6"/>
        <v>000</v>
      </c>
      <c r="N81" s="276" t="s">
        <v>814</v>
      </c>
    </row>
    <row r="82" spans="1:14" x14ac:dyDescent="0.2">
      <c r="A82" s="270" t="s">
        <v>249</v>
      </c>
      <c r="B82" s="270" t="s">
        <v>310</v>
      </c>
      <c r="C82" s="270" t="s">
        <v>311</v>
      </c>
      <c r="D82" s="696" t="str">
        <f t="shared" si="4"/>
        <v>100-100-1000-6580-000-32-05</v>
      </c>
      <c r="E82" s="270" t="s">
        <v>312</v>
      </c>
      <c r="F82" s="696">
        <f t="shared" si="7"/>
        <v>0</v>
      </c>
      <c r="G82" s="696">
        <f>VLOOKUP(L82,'Function-Grant'!$C:$AM,4,'Function-Grant'!$C:$AM)</f>
        <v>0</v>
      </c>
      <c r="H82" s="271" t="s">
        <v>311</v>
      </c>
      <c r="J82" s="276" t="s">
        <v>259</v>
      </c>
      <c r="K82" s="697" t="str">
        <f t="shared" si="5"/>
        <v>1000</v>
      </c>
      <c r="L82" s="698">
        <v>6580</v>
      </c>
      <c r="M82" s="697" t="str">
        <f t="shared" si="6"/>
        <v>000</v>
      </c>
      <c r="N82" s="276" t="s">
        <v>814</v>
      </c>
    </row>
    <row r="83" spans="1:14" x14ac:dyDescent="0.2">
      <c r="A83" s="270" t="s">
        <v>249</v>
      </c>
      <c r="B83" s="270" t="s">
        <v>310</v>
      </c>
      <c r="C83" s="270" t="s">
        <v>311</v>
      </c>
      <c r="D83" s="696" t="str">
        <f t="shared" ref="D83:D231" si="8">CONCATENATE("100-100-",K83,"-",L83,"-",M83,"-",N83)</f>
        <v>100-100-1000-6610-000-32-05</v>
      </c>
      <c r="E83" s="270" t="s">
        <v>312</v>
      </c>
      <c r="F83" s="696">
        <f t="shared" si="7"/>
        <v>0</v>
      </c>
      <c r="G83" s="696">
        <f>VLOOKUP(L83,'Function-Grant'!$C:$AM,4,'Function-Grant'!$C:$AM)</f>
        <v>0</v>
      </c>
      <c r="H83" s="271" t="s">
        <v>311</v>
      </c>
      <c r="J83" s="276" t="s">
        <v>259</v>
      </c>
      <c r="K83" s="697" t="str">
        <f t="shared" si="5"/>
        <v>1000</v>
      </c>
      <c r="L83" s="698">
        <v>6610</v>
      </c>
      <c r="M83" s="697" t="str">
        <f t="shared" si="6"/>
        <v>000</v>
      </c>
      <c r="N83" s="276" t="s">
        <v>814</v>
      </c>
    </row>
    <row r="84" spans="1:14" x14ac:dyDescent="0.2">
      <c r="A84" s="270" t="s">
        <v>249</v>
      </c>
      <c r="B84" s="270" t="s">
        <v>310</v>
      </c>
      <c r="C84" s="270" t="s">
        <v>311</v>
      </c>
      <c r="D84" s="696" t="str">
        <f t="shared" si="8"/>
        <v>100-100-1000-6612-000-32-05</v>
      </c>
      <c r="E84" s="270" t="s">
        <v>312</v>
      </c>
      <c r="F84" s="696">
        <f t="shared" si="7"/>
        <v>0</v>
      </c>
      <c r="G84" s="696">
        <f>VLOOKUP(L84,'Function-Grant'!$C:$AM,4,'Function-Grant'!$C:$AM)</f>
        <v>0</v>
      </c>
      <c r="H84" s="271" t="s">
        <v>311</v>
      </c>
      <c r="J84" s="276" t="s">
        <v>259</v>
      </c>
      <c r="K84" s="697" t="str">
        <f t="shared" si="5"/>
        <v>1000</v>
      </c>
      <c r="L84" s="698">
        <v>6612</v>
      </c>
      <c r="M84" s="697" t="str">
        <f t="shared" si="6"/>
        <v>000</v>
      </c>
      <c r="N84" s="276" t="s">
        <v>814</v>
      </c>
    </row>
    <row r="85" spans="1:14" x14ac:dyDescent="0.2">
      <c r="A85" s="270" t="s">
        <v>249</v>
      </c>
      <c r="B85" s="270" t="s">
        <v>310</v>
      </c>
      <c r="C85" s="270" t="s">
        <v>311</v>
      </c>
      <c r="D85" s="696" t="str">
        <f t="shared" si="8"/>
        <v>100-100-1000-6622-000-32-05</v>
      </c>
      <c r="E85" s="270" t="s">
        <v>312</v>
      </c>
      <c r="F85" s="696">
        <f t="shared" si="7"/>
        <v>0</v>
      </c>
      <c r="G85" s="696">
        <f>VLOOKUP(L85,'Function-Grant'!$C:$AM,4,'Function-Grant'!$C:$AM)</f>
        <v>0</v>
      </c>
      <c r="H85" s="271" t="s">
        <v>311</v>
      </c>
      <c r="J85" s="276" t="s">
        <v>259</v>
      </c>
      <c r="K85" s="697" t="str">
        <f t="shared" si="5"/>
        <v>1000</v>
      </c>
      <c r="L85" s="698">
        <v>6622</v>
      </c>
      <c r="M85" s="697" t="str">
        <f t="shared" si="6"/>
        <v>000</v>
      </c>
      <c r="N85" s="276" t="s">
        <v>814</v>
      </c>
    </row>
    <row r="86" spans="1:14" x14ac:dyDescent="0.2">
      <c r="A86" s="270" t="s">
        <v>249</v>
      </c>
      <c r="B86" s="270" t="s">
        <v>310</v>
      </c>
      <c r="C86" s="270" t="s">
        <v>311</v>
      </c>
      <c r="D86" s="696" t="str">
        <f t="shared" si="8"/>
        <v>100-100-1000-6641-000-32-05</v>
      </c>
      <c r="E86" s="270" t="s">
        <v>312</v>
      </c>
      <c r="F86" s="696">
        <f t="shared" si="7"/>
        <v>0</v>
      </c>
      <c r="G86" s="696">
        <f>VLOOKUP(L86,'Function-Grant'!$C:$AM,4,'Function-Grant'!$C:$AM)</f>
        <v>0</v>
      </c>
      <c r="H86" s="271" t="s">
        <v>311</v>
      </c>
      <c r="J86" s="276" t="s">
        <v>259</v>
      </c>
      <c r="K86" s="697" t="str">
        <f t="shared" si="5"/>
        <v>1000</v>
      </c>
      <c r="L86" s="698">
        <v>6641</v>
      </c>
      <c r="M86" s="697" t="str">
        <f t="shared" si="6"/>
        <v>000</v>
      </c>
      <c r="N86" s="276" t="s">
        <v>814</v>
      </c>
    </row>
    <row r="87" spans="1:14" x14ac:dyDescent="0.2">
      <c r="A87" s="270" t="s">
        <v>249</v>
      </c>
      <c r="B87" s="270" t="s">
        <v>310</v>
      </c>
      <c r="C87" s="270" t="s">
        <v>311</v>
      </c>
      <c r="D87" s="696" t="str">
        <f t="shared" si="8"/>
        <v>100-100-1000-6642-000-32-05</v>
      </c>
      <c r="E87" s="270" t="s">
        <v>312</v>
      </c>
      <c r="F87" s="696">
        <f t="shared" si="7"/>
        <v>0</v>
      </c>
      <c r="G87" s="696">
        <f>VLOOKUP(L87,'Function-Grant'!$C:$AM,4,'Function-Grant'!$C:$AM)</f>
        <v>0</v>
      </c>
      <c r="H87" s="271" t="s">
        <v>311</v>
      </c>
      <c r="J87" s="276" t="s">
        <v>259</v>
      </c>
      <c r="K87" s="697" t="str">
        <f t="shared" si="5"/>
        <v>1000</v>
      </c>
      <c r="L87" s="698">
        <v>6642</v>
      </c>
      <c r="M87" s="697" t="str">
        <f t="shared" si="6"/>
        <v>000</v>
      </c>
      <c r="N87" s="276" t="s">
        <v>814</v>
      </c>
    </row>
    <row r="88" spans="1:14" x14ac:dyDescent="0.2">
      <c r="A88" s="270" t="s">
        <v>249</v>
      </c>
      <c r="B88" s="270" t="s">
        <v>310</v>
      </c>
      <c r="C88" s="270" t="s">
        <v>311</v>
      </c>
      <c r="D88" s="696" t="str">
        <f t="shared" si="8"/>
        <v>100-100-1000-6651-000-32-05</v>
      </c>
      <c r="E88" s="270" t="s">
        <v>312</v>
      </c>
      <c r="F88" s="696">
        <f t="shared" si="7"/>
        <v>0</v>
      </c>
      <c r="G88" s="696">
        <f>VLOOKUP(L88,'Function-Grant'!$C:$AM,4,'Function-Grant'!$C:$AM)</f>
        <v>0</v>
      </c>
      <c r="H88" s="271" t="s">
        <v>311</v>
      </c>
      <c r="J88" s="276" t="s">
        <v>259</v>
      </c>
      <c r="K88" s="697" t="str">
        <f t="shared" si="5"/>
        <v>1000</v>
      </c>
      <c r="L88" s="698">
        <v>6651</v>
      </c>
      <c r="M88" s="697" t="str">
        <f t="shared" si="6"/>
        <v>000</v>
      </c>
      <c r="N88" s="276" t="s">
        <v>814</v>
      </c>
    </row>
    <row r="89" spans="1:14" x14ac:dyDescent="0.2">
      <c r="A89" s="270" t="s">
        <v>249</v>
      </c>
      <c r="B89" s="270" t="s">
        <v>310</v>
      </c>
      <c r="C89" s="270" t="s">
        <v>311</v>
      </c>
      <c r="D89" s="696" t="str">
        <f t="shared" si="8"/>
        <v>100-100-1000-6734-000-32-05</v>
      </c>
      <c r="E89" s="270" t="s">
        <v>312</v>
      </c>
      <c r="F89" s="696">
        <f t="shared" si="7"/>
        <v>0</v>
      </c>
      <c r="G89" s="696">
        <f>VLOOKUP(L89,'Function-Grant'!$C:$AM,4,'Function-Grant'!$C:$AM)</f>
        <v>0</v>
      </c>
      <c r="H89" s="271" t="s">
        <v>311</v>
      </c>
      <c r="J89" s="276" t="s">
        <v>259</v>
      </c>
      <c r="K89" s="697" t="str">
        <f t="shared" si="5"/>
        <v>1000</v>
      </c>
      <c r="L89" s="698">
        <v>6734</v>
      </c>
      <c r="M89" s="697" t="str">
        <f t="shared" si="6"/>
        <v>000</v>
      </c>
      <c r="N89" s="276" t="s">
        <v>814</v>
      </c>
    </row>
    <row r="90" spans="1:14" x14ac:dyDescent="0.2">
      <c r="A90" s="270" t="s">
        <v>249</v>
      </c>
      <c r="B90" s="270" t="s">
        <v>310</v>
      </c>
      <c r="C90" s="270" t="s">
        <v>311</v>
      </c>
      <c r="D90" s="696" t="str">
        <f t="shared" si="8"/>
        <v>100-100-1000-6800-000-32-05</v>
      </c>
      <c r="E90" s="270" t="s">
        <v>312</v>
      </c>
      <c r="F90" s="696">
        <f t="shared" si="7"/>
        <v>0</v>
      </c>
      <c r="G90" s="696" t="e">
        <f>VLOOKUP(L90,'Function-Grant'!$C:$AM,4,'Function-Grant'!$C:$AM)</f>
        <v>#N/A</v>
      </c>
      <c r="H90" s="271" t="s">
        <v>311</v>
      </c>
      <c r="J90" s="276" t="s">
        <v>259</v>
      </c>
      <c r="K90" s="697" t="str">
        <f t="shared" si="5"/>
        <v>1000</v>
      </c>
      <c r="L90" s="698">
        <v>6800</v>
      </c>
      <c r="M90" s="697" t="str">
        <f t="shared" si="6"/>
        <v>000</v>
      </c>
      <c r="N90" s="276" t="s">
        <v>814</v>
      </c>
    </row>
    <row r="91" spans="1:14" x14ac:dyDescent="0.2">
      <c r="A91" s="270" t="s">
        <v>249</v>
      </c>
      <c r="B91" s="270" t="s">
        <v>310</v>
      </c>
      <c r="C91" s="270" t="s">
        <v>311</v>
      </c>
      <c r="D91" s="696" t="str">
        <f t="shared" si="8"/>
        <v>100-100-1000-6810-000-32-05</v>
      </c>
      <c r="E91" s="270" t="s">
        <v>312</v>
      </c>
      <c r="F91" s="696">
        <f t="shared" si="7"/>
        <v>0</v>
      </c>
      <c r="G91" s="696">
        <f>VLOOKUP(L91,'Function-Grant'!$C:$AM,4,'Function-Grant'!$C:$AM)</f>
        <v>0</v>
      </c>
      <c r="H91" s="271" t="s">
        <v>311</v>
      </c>
      <c r="J91" s="276" t="s">
        <v>259</v>
      </c>
      <c r="K91" s="697" t="str">
        <f t="shared" si="5"/>
        <v>1000</v>
      </c>
      <c r="L91" s="698">
        <v>6810</v>
      </c>
      <c r="M91" s="697" t="str">
        <f t="shared" si="6"/>
        <v>000</v>
      </c>
      <c r="N91" s="276" t="s">
        <v>814</v>
      </c>
    </row>
    <row r="92" spans="1:14" x14ac:dyDescent="0.2">
      <c r="A92" s="270" t="s">
        <v>249</v>
      </c>
      <c r="B92" s="270" t="s">
        <v>310</v>
      </c>
      <c r="C92" s="270" t="s">
        <v>311</v>
      </c>
      <c r="D92" s="696" t="str">
        <f t="shared" si="8"/>
        <v>100-100-1000-6810-709-32-05</v>
      </c>
      <c r="E92" s="270" t="s">
        <v>312</v>
      </c>
      <c r="F92" s="696">
        <f t="shared" si="7"/>
        <v>0</v>
      </c>
      <c r="G92" s="696">
        <f>VLOOKUP(L92,'Function-Grant'!$C:$AM,37,'Function-Grant'!$C:$AM)</f>
        <v>0</v>
      </c>
      <c r="H92" s="271" t="s">
        <v>311</v>
      </c>
      <c r="J92" s="276" t="s">
        <v>288</v>
      </c>
      <c r="K92" s="697" t="str">
        <f t="shared" si="5"/>
        <v>1000</v>
      </c>
      <c r="L92" s="698">
        <v>6810</v>
      </c>
      <c r="M92" s="697" t="str">
        <f t="shared" si="6"/>
        <v>709</v>
      </c>
      <c r="N92" s="276" t="s">
        <v>814</v>
      </c>
    </row>
    <row r="93" spans="1:14" x14ac:dyDescent="0.2">
      <c r="A93" s="270" t="s">
        <v>249</v>
      </c>
      <c r="B93" s="270" t="s">
        <v>310</v>
      </c>
      <c r="C93" s="270" t="s">
        <v>311</v>
      </c>
      <c r="D93" s="696" t="str">
        <f t="shared" si="8"/>
        <v>100-100-1000-7306-000-32-05</v>
      </c>
      <c r="E93" s="270" t="s">
        <v>312</v>
      </c>
      <c r="F93" s="696">
        <f t="shared" si="7"/>
        <v>0</v>
      </c>
      <c r="G93" s="696">
        <f>VLOOKUP(L93,'Function-Grant'!$C:$AM,4,'Function-Grant'!$C:$AM)</f>
        <v>0</v>
      </c>
      <c r="H93" s="271" t="s">
        <v>311</v>
      </c>
      <c r="J93" s="276" t="s">
        <v>259</v>
      </c>
      <c r="K93" s="697" t="str">
        <f t="shared" si="5"/>
        <v>1000</v>
      </c>
      <c r="L93" s="698">
        <v>7306</v>
      </c>
      <c r="M93" s="697" t="str">
        <f t="shared" si="6"/>
        <v>000</v>
      </c>
      <c r="N93" s="276" t="s">
        <v>814</v>
      </c>
    </row>
    <row r="94" spans="1:14" x14ac:dyDescent="0.2">
      <c r="A94" s="270" t="s">
        <v>249</v>
      </c>
      <c r="B94" s="270" t="s">
        <v>310</v>
      </c>
      <c r="C94" s="270" t="s">
        <v>311</v>
      </c>
      <c r="D94" s="696" t="str">
        <f t="shared" si="8"/>
        <v>100-100-2120--000-32-05</v>
      </c>
      <c r="H94" s="271" t="s">
        <v>311</v>
      </c>
      <c r="J94" s="276" t="s">
        <v>261</v>
      </c>
      <c r="K94" s="697" t="str">
        <f t="shared" si="5"/>
        <v>2120</v>
      </c>
      <c r="M94" s="697" t="str">
        <f t="shared" si="6"/>
        <v>000</v>
      </c>
      <c r="N94" s="276" t="s">
        <v>814</v>
      </c>
    </row>
    <row r="95" spans="1:14" x14ac:dyDescent="0.2">
      <c r="A95" s="270" t="s">
        <v>249</v>
      </c>
      <c r="B95" s="270" t="s">
        <v>310</v>
      </c>
      <c r="C95" s="270" t="s">
        <v>311</v>
      </c>
      <c r="D95" s="696" t="str">
        <f t="shared" si="8"/>
        <v>100-100-2120-6320-000-32-05</v>
      </c>
      <c r="E95" s="270" t="s">
        <v>312</v>
      </c>
      <c r="F95" s="696">
        <f t="shared" si="7"/>
        <v>48000</v>
      </c>
      <c r="G95" s="696">
        <f>VLOOKUP(L95,'Function-Grant'!$C:$AM,6,'Function-Grant'!$C:$AM)</f>
        <v>48000</v>
      </c>
      <c r="H95" s="271" t="s">
        <v>311</v>
      </c>
      <c r="J95" s="276" t="s">
        <v>261</v>
      </c>
      <c r="K95" s="697" t="str">
        <f t="shared" si="5"/>
        <v>2120</v>
      </c>
      <c r="L95" s="698">
        <v>6320</v>
      </c>
      <c r="M95" s="697" t="str">
        <f t="shared" si="6"/>
        <v>000</v>
      </c>
      <c r="N95" s="276" t="s">
        <v>814</v>
      </c>
    </row>
    <row r="96" spans="1:14" x14ac:dyDescent="0.2">
      <c r="A96" s="270" t="s">
        <v>249</v>
      </c>
      <c r="B96" s="270" t="s">
        <v>310</v>
      </c>
      <c r="C96" s="270" t="s">
        <v>311</v>
      </c>
      <c r="D96" s="696" t="str">
        <f t="shared" si="8"/>
        <v>100-100-2130--000-32-05</v>
      </c>
      <c r="H96" s="271" t="s">
        <v>311</v>
      </c>
      <c r="J96" s="276" t="s">
        <v>262</v>
      </c>
      <c r="K96" s="697" t="str">
        <f t="shared" si="5"/>
        <v>2130</v>
      </c>
      <c r="M96" s="697" t="str">
        <f t="shared" si="6"/>
        <v>000</v>
      </c>
      <c r="N96" s="276" t="s">
        <v>814</v>
      </c>
    </row>
    <row r="97" spans="1:14" x14ac:dyDescent="0.2">
      <c r="A97" s="270" t="s">
        <v>249</v>
      </c>
      <c r="B97" s="270" t="s">
        <v>310</v>
      </c>
      <c r="C97" s="270" t="s">
        <v>311</v>
      </c>
      <c r="D97" s="696" t="str">
        <f t="shared" si="8"/>
        <v>100-100-2130-6320-000-32-05</v>
      </c>
      <c r="E97" s="270" t="s">
        <v>312</v>
      </c>
      <c r="F97" s="696">
        <f t="shared" si="7"/>
        <v>1875</v>
      </c>
      <c r="G97" s="696">
        <f>VLOOKUP(L97,'Function-Grant'!$C:$AM,7,'Function-Grant'!$C:$AM)</f>
        <v>1875</v>
      </c>
      <c r="H97" s="271" t="s">
        <v>311</v>
      </c>
      <c r="J97" s="276" t="s">
        <v>262</v>
      </c>
      <c r="K97" s="697" t="str">
        <f t="shared" si="5"/>
        <v>2130</v>
      </c>
      <c r="L97" s="698">
        <v>6320</v>
      </c>
      <c r="M97" s="697" t="str">
        <f t="shared" si="6"/>
        <v>000</v>
      </c>
      <c r="N97" s="276" t="s">
        <v>814</v>
      </c>
    </row>
    <row r="98" spans="1:14" x14ac:dyDescent="0.2">
      <c r="A98" s="270" t="s">
        <v>249</v>
      </c>
      <c r="B98" s="270" t="s">
        <v>310</v>
      </c>
      <c r="C98" s="270" t="s">
        <v>311</v>
      </c>
      <c r="D98" s="696" t="str">
        <f t="shared" si="8"/>
        <v>100-100-2130-6331-000-32-05</v>
      </c>
      <c r="E98" s="270" t="s">
        <v>312</v>
      </c>
      <c r="F98" s="696">
        <f t="shared" si="7"/>
        <v>0</v>
      </c>
      <c r="G98" s="696">
        <f>VLOOKUP(L98,'Function-Grant'!$C:$AM,7,'Function-Grant'!$C:$AM)</f>
        <v>0</v>
      </c>
      <c r="H98" s="271" t="s">
        <v>311</v>
      </c>
      <c r="J98" s="276" t="s">
        <v>262</v>
      </c>
      <c r="K98" s="697" t="str">
        <f t="shared" si="5"/>
        <v>2130</v>
      </c>
      <c r="L98" s="698">
        <v>6331</v>
      </c>
      <c r="M98" s="697" t="str">
        <f t="shared" si="6"/>
        <v>000</v>
      </c>
      <c r="N98" s="276" t="s">
        <v>814</v>
      </c>
    </row>
    <row r="99" spans="1:14" x14ac:dyDescent="0.2">
      <c r="A99" s="270" t="s">
        <v>249</v>
      </c>
      <c r="B99" s="270" t="s">
        <v>310</v>
      </c>
      <c r="C99" s="270" t="s">
        <v>311</v>
      </c>
      <c r="D99" s="696" t="str">
        <f t="shared" si="8"/>
        <v>100-100-2140--000-32-05</v>
      </c>
      <c r="H99" s="271" t="s">
        <v>311</v>
      </c>
      <c r="J99" s="276" t="s">
        <v>263</v>
      </c>
      <c r="K99" s="697" t="str">
        <f t="shared" si="5"/>
        <v>2140</v>
      </c>
      <c r="M99" s="697" t="str">
        <f t="shared" si="6"/>
        <v>000</v>
      </c>
      <c r="N99" s="276" t="s">
        <v>814</v>
      </c>
    </row>
    <row r="100" spans="1:14" x14ac:dyDescent="0.2">
      <c r="A100" s="270" t="s">
        <v>249</v>
      </c>
      <c r="B100" s="270" t="s">
        <v>310</v>
      </c>
      <c r="C100" s="270" t="s">
        <v>311</v>
      </c>
      <c r="D100" s="696" t="str">
        <f t="shared" si="8"/>
        <v>100-100-2140-6320-639-32-05</v>
      </c>
      <c r="E100" s="270" t="s">
        <v>312</v>
      </c>
      <c r="F100" s="696">
        <f t="shared" si="7"/>
        <v>0</v>
      </c>
      <c r="G100" s="696">
        <f>VLOOKUP(L100,'Function-Grant'!$C:$AM,30,'Function-Grant'!$C:$AM)</f>
        <v>0</v>
      </c>
      <c r="H100" s="271" t="s">
        <v>311</v>
      </c>
      <c r="J100" s="276" t="s">
        <v>570</v>
      </c>
      <c r="K100" s="697" t="str">
        <f t="shared" si="5"/>
        <v>2140</v>
      </c>
      <c r="L100" s="698">
        <v>6320</v>
      </c>
      <c r="M100" s="697" t="str">
        <f t="shared" si="6"/>
        <v>639</v>
      </c>
      <c r="N100" s="276" t="s">
        <v>814</v>
      </c>
    </row>
    <row r="101" spans="1:14" x14ac:dyDescent="0.2">
      <c r="A101" s="270" t="s">
        <v>249</v>
      </c>
      <c r="B101" s="270" t="s">
        <v>310</v>
      </c>
      <c r="C101" s="270" t="s">
        <v>311</v>
      </c>
      <c r="D101" s="696" t="str">
        <f t="shared" si="8"/>
        <v>100-100-2240--000-32-05</v>
      </c>
      <c r="H101" s="271" t="s">
        <v>311</v>
      </c>
      <c r="J101" s="276" t="s">
        <v>264</v>
      </c>
      <c r="K101" s="697" t="str">
        <f t="shared" si="5"/>
        <v>2240</v>
      </c>
      <c r="M101" s="697" t="str">
        <f t="shared" si="6"/>
        <v>000</v>
      </c>
      <c r="N101" s="276" t="s">
        <v>814</v>
      </c>
    </row>
    <row r="102" spans="1:14" x14ac:dyDescent="0.2">
      <c r="A102" s="270" t="s">
        <v>249</v>
      </c>
      <c r="B102" s="270" t="s">
        <v>310</v>
      </c>
      <c r="C102" s="270" t="s">
        <v>311</v>
      </c>
      <c r="D102" s="696" t="str">
        <f t="shared" si="8"/>
        <v>100-100-2240-6351-000-32-05</v>
      </c>
      <c r="E102" s="270" t="s">
        <v>312</v>
      </c>
      <c r="F102" s="696">
        <f t="shared" si="7"/>
        <v>37619</v>
      </c>
      <c r="G102" s="696">
        <f>VLOOKUP(L102,'Function-Grant'!$C:$AM,9,'Function-Grant'!$C:$AM)</f>
        <v>37619</v>
      </c>
      <c r="H102" s="271" t="s">
        <v>311</v>
      </c>
      <c r="J102" s="276" t="s">
        <v>264</v>
      </c>
      <c r="K102" s="697" t="str">
        <f t="shared" si="5"/>
        <v>2240</v>
      </c>
      <c r="L102" s="698">
        <v>6351</v>
      </c>
      <c r="M102" s="697" t="str">
        <f t="shared" si="6"/>
        <v>000</v>
      </c>
      <c r="N102" s="276" t="s">
        <v>814</v>
      </c>
    </row>
    <row r="103" spans="1:14" x14ac:dyDescent="0.2">
      <c r="A103" s="270" t="s">
        <v>249</v>
      </c>
      <c r="B103" s="270" t="s">
        <v>310</v>
      </c>
      <c r="C103" s="270" t="s">
        <v>311</v>
      </c>
      <c r="D103" s="696" t="str">
        <f t="shared" si="8"/>
        <v>100-100-2310--000-32-05</v>
      </c>
      <c r="H103" s="271" t="s">
        <v>311</v>
      </c>
      <c r="J103" s="276" t="s">
        <v>265</v>
      </c>
      <c r="K103" s="697" t="str">
        <f t="shared" si="5"/>
        <v>2310</v>
      </c>
      <c r="M103" s="697" t="str">
        <f t="shared" si="6"/>
        <v>000</v>
      </c>
      <c r="N103" s="276" t="s">
        <v>814</v>
      </c>
    </row>
    <row r="104" spans="1:14" x14ac:dyDescent="0.2">
      <c r="A104" s="270" t="s">
        <v>249</v>
      </c>
      <c r="B104" s="270" t="s">
        <v>310</v>
      </c>
      <c r="C104" s="270" t="s">
        <v>311</v>
      </c>
      <c r="D104" s="696" t="str">
        <f t="shared" ref="D104" si="9">CONCATENATE("100-100-",K104,"-",L104,"-",M104,"-",N104)</f>
        <v>100-100-2310-6334-709-32-05</v>
      </c>
      <c r="E104" s="270" t="s">
        <v>312</v>
      </c>
      <c r="F104" s="696">
        <f t="shared" ref="F104" si="10">IFERROR(G104,0)</f>
        <v>800</v>
      </c>
      <c r="G104" s="696">
        <f>VLOOKUP(L104,'Function-Grant'!$C:$AM,35,'Function-Grant'!$C:$AM)</f>
        <v>800</v>
      </c>
      <c r="H104" s="271" t="s">
        <v>311</v>
      </c>
      <c r="J104" s="276" t="s">
        <v>573</v>
      </c>
      <c r="K104" s="697" t="str">
        <f t="shared" ref="K104" si="11">LEFT(J104,4)</f>
        <v>2310</v>
      </c>
      <c r="L104" s="698">
        <v>6334</v>
      </c>
      <c r="M104" s="697" t="str">
        <f t="shared" ref="M104" si="12">RIGHT(J104,3)</f>
        <v>709</v>
      </c>
      <c r="N104" s="276" t="s">
        <v>814</v>
      </c>
    </row>
    <row r="105" spans="1:14" x14ac:dyDescent="0.2">
      <c r="A105" s="270" t="s">
        <v>249</v>
      </c>
      <c r="B105" s="270" t="s">
        <v>310</v>
      </c>
      <c r="C105" s="270" t="s">
        <v>311</v>
      </c>
      <c r="D105" s="696" t="str">
        <f t="shared" si="8"/>
        <v>100-100-2310-6580-000-32-05</v>
      </c>
      <c r="E105" s="270" t="s">
        <v>312</v>
      </c>
      <c r="F105" s="696">
        <f t="shared" si="7"/>
        <v>2400</v>
      </c>
      <c r="G105" s="696">
        <f>VLOOKUP(L105,'Function-Grant'!$C:$AM,10,'Function-Grant'!$C:$AM)</f>
        <v>2400</v>
      </c>
      <c r="H105" s="271" t="s">
        <v>311</v>
      </c>
      <c r="J105" s="276" t="s">
        <v>265</v>
      </c>
      <c r="K105" s="697" t="str">
        <f t="shared" si="5"/>
        <v>2310</v>
      </c>
      <c r="L105" s="698">
        <v>6580</v>
      </c>
      <c r="M105" s="697" t="str">
        <f t="shared" si="6"/>
        <v>000</v>
      </c>
      <c r="N105" s="276" t="s">
        <v>814</v>
      </c>
    </row>
    <row r="106" spans="1:14" x14ac:dyDescent="0.2">
      <c r="A106" s="270" t="s">
        <v>249</v>
      </c>
      <c r="B106" s="270" t="s">
        <v>310</v>
      </c>
      <c r="C106" s="270" t="s">
        <v>311</v>
      </c>
      <c r="D106" s="696" t="str">
        <f t="shared" si="8"/>
        <v>100-100-2310-6610-000-32-05</v>
      </c>
      <c r="E106" s="270" t="s">
        <v>312</v>
      </c>
      <c r="F106" s="696">
        <f t="shared" si="7"/>
        <v>280</v>
      </c>
      <c r="G106" s="696">
        <f>VLOOKUP(L106,'Function-Grant'!$C:$AM,10,'Function-Grant'!$C:$AM)</f>
        <v>280</v>
      </c>
      <c r="H106" s="271" t="s">
        <v>311</v>
      </c>
      <c r="J106" s="276" t="s">
        <v>265</v>
      </c>
      <c r="K106" s="697" t="str">
        <f t="shared" si="5"/>
        <v>2310</v>
      </c>
      <c r="L106" s="698">
        <v>6610</v>
      </c>
      <c r="M106" s="697" t="str">
        <f t="shared" si="6"/>
        <v>000</v>
      </c>
      <c r="N106" s="276" t="s">
        <v>814</v>
      </c>
    </row>
    <row r="107" spans="1:14" x14ac:dyDescent="0.2">
      <c r="A107" s="270" t="s">
        <v>249</v>
      </c>
      <c r="B107" s="270" t="s">
        <v>310</v>
      </c>
      <c r="C107" s="270" t="s">
        <v>311</v>
      </c>
      <c r="D107" s="696" t="str">
        <f t="shared" si="8"/>
        <v>100-100-2320--000-32-05</v>
      </c>
      <c r="H107" s="271" t="s">
        <v>311</v>
      </c>
      <c r="J107" s="276" t="s">
        <v>266</v>
      </c>
      <c r="K107" s="697" t="str">
        <f t="shared" si="5"/>
        <v>2320</v>
      </c>
      <c r="M107" s="697" t="str">
        <f t="shared" si="6"/>
        <v>000</v>
      </c>
      <c r="N107" s="276" t="s">
        <v>814</v>
      </c>
    </row>
    <row r="108" spans="1:14" x14ac:dyDescent="0.2">
      <c r="A108" s="270" t="s">
        <v>249</v>
      </c>
      <c r="B108" s="270" t="s">
        <v>310</v>
      </c>
      <c r="C108" s="270" t="s">
        <v>311</v>
      </c>
      <c r="D108" s="696" t="str">
        <f t="shared" si="8"/>
        <v>100-100-2320-6111-000-32-05</v>
      </c>
      <c r="E108" s="270" t="s">
        <v>312</v>
      </c>
      <c r="F108" s="696">
        <f t="shared" si="7"/>
        <v>0</v>
      </c>
      <c r="G108" s="696">
        <f>VLOOKUP(L108,'Function-Grant'!$C:$AM,11,'Function-Grant'!$C:$AM)</f>
        <v>0</v>
      </c>
      <c r="H108" s="271" t="s">
        <v>311</v>
      </c>
      <c r="J108" s="276" t="s">
        <v>266</v>
      </c>
      <c r="K108" s="697" t="str">
        <f t="shared" si="5"/>
        <v>2320</v>
      </c>
      <c r="L108" s="698">
        <v>6111</v>
      </c>
      <c r="M108" s="697" t="str">
        <f t="shared" si="6"/>
        <v>000</v>
      </c>
      <c r="N108" s="276" t="s">
        <v>814</v>
      </c>
    </row>
    <row r="109" spans="1:14" x14ac:dyDescent="0.2">
      <c r="A109" s="270" t="s">
        <v>249</v>
      </c>
      <c r="B109" s="270" t="s">
        <v>310</v>
      </c>
      <c r="C109" s="270" t="s">
        <v>311</v>
      </c>
      <c r="D109" s="696" t="str">
        <f t="shared" si="8"/>
        <v>100-100-2320-6114-000-32-05</v>
      </c>
      <c r="E109" s="270" t="s">
        <v>312</v>
      </c>
      <c r="F109" s="696">
        <f t="shared" si="7"/>
        <v>268312.5</v>
      </c>
      <c r="G109" s="696">
        <f>VLOOKUP(L109,'Function-Grant'!$C:$AM,11,'Function-Grant'!$C:$AM)</f>
        <v>268312.5</v>
      </c>
      <c r="H109" s="271" t="s">
        <v>311</v>
      </c>
      <c r="J109" s="276" t="s">
        <v>266</v>
      </c>
      <c r="K109" s="697" t="str">
        <f t="shared" si="5"/>
        <v>2320</v>
      </c>
      <c r="L109" s="698">
        <v>6114</v>
      </c>
      <c r="M109" s="697" t="str">
        <f t="shared" si="6"/>
        <v>000</v>
      </c>
      <c r="N109" s="276" t="s">
        <v>814</v>
      </c>
    </row>
    <row r="110" spans="1:14" x14ac:dyDescent="0.2">
      <c r="A110" s="270" t="s">
        <v>249</v>
      </c>
      <c r="B110" s="270" t="s">
        <v>310</v>
      </c>
      <c r="C110" s="270" t="s">
        <v>311</v>
      </c>
      <c r="D110" s="696" t="str">
        <f t="shared" si="8"/>
        <v>100-100-2320-6117-000-32-05</v>
      </c>
      <c r="E110" s="270" t="s">
        <v>312</v>
      </c>
      <c r="F110" s="696">
        <f t="shared" si="7"/>
        <v>0</v>
      </c>
      <c r="G110" s="696">
        <f>VLOOKUP(L110,'Function-Grant'!$C:$AM,11,'Function-Grant'!$C:$AM)</f>
        <v>0</v>
      </c>
      <c r="H110" s="271" t="s">
        <v>311</v>
      </c>
      <c r="J110" s="276" t="s">
        <v>266</v>
      </c>
      <c r="K110" s="697" t="str">
        <f t="shared" si="5"/>
        <v>2320</v>
      </c>
      <c r="L110" s="698">
        <v>6117</v>
      </c>
      <c r="M110" s="697" t="str">
        <f t="shared" si="6"/>
        <v>000</v>
      </c>
      <c r="N110" s="276" t="s">
        <v>814</v>
      </c>
    </row>
    <row r="111" spans="1:14" x14ac:dyDescent="0.2">
      <c r="A111" s="270" t="s">
        <v>249</v>
      </c>
      <c r="B111" s="270" t="s">
        <v>310</v>
      </c>
      <c r="C111" s="270" t="s">
        <v>311</v>
      </c>
      <c r="D111" s="696" t="str">
        <f t="shared" si="8"/>
        <v>100-100-2320-6122-000-32-05</v>
      </c>
      <c r="E111" s="270" t="s">
        <v>312</v>
      </c>
      <c r="F111" s="696">
        <f t="shared" si="7"/>
        <v>0</v>
      </c>
      <c r="G111" s="696" t="e">
        <f>VLOOKUP(L111,'Function-Grant'!$C:$AM,11,'Function-Grant'!$C:$AM)</f>
        <v>#N/A</v>
      </c>
      <c r="H111" s="271" t="s">
        <v>311</v>
      </c>
      <c r="J111" s="276" t="s">
        <v>266</v>
      </c>
      <c r="K111" s="697" t="str">
        <f t="shared" si="5"/>
        <v>2320</v>
      </c>
      <c r="L111" s="698">
        <v>6122</v>
      </c>
      <c r="M111" s="697" t="str">
        <f t="shared" si="6"/>
        <v>000</v>
      </c>
      <c r="N111" s="276" t="s">
        <v>814</v>
      </c>
    </row>
    <row r="112" spans="1:14" x14ac:dyDescent="0.2">
      <c r="A112" s="270" t="s">
        <v>249</v>
      </c>
      <c r="B112" s="270" t="s">
        <v>310</v>
      </c>
      <c r="C112" s="270" t="s">
        <v>311</v>
      </c>
      <c r="D112" s="696" t="str">
        <f t="shared" si="8"/>
        <v>100-100-2320-6127-000-32-05</v>
      </c>
      <c r="E112" s="270" t="s">
        <v>312</v>
      </c>
      <c r="F112" s="696">
        <f t="shared" si="7"/>
        <v>0</v>
      </c>
      <c r="G112" s="696">
        <f>VLOOKUP(L112,'Function-Grant'!$C:$AM,11,'Function-Grant'!$C:$AM)</f>
        <v>0</v>
      </c>
      <c r="H112" s="271" t="s">
        <v>311</v>
      </c>
      <c r="J112" s="276" t="s">
        <v>266</v>
      </c>
      <c r="K112" s="697" t="str">
        <f t="shared" si="5"/>
        <v>2320</v>
      </c>
      <c r="L112" s="698">
        <v>6127</v>
      </c>
      <c r="M112" s="697" t="str">
        <f t="shared" si="6"/>
        <v>000</v>
      </c>
      <c r="N112" s="276" t="s">
        <v>814</v>
      </c>
    </row>
    <row r="113" spans="1:14" x14ac:dyDescent="0.2">
      <c r="A113" s="270" t="s">
        <v>249</v>
      </c>
      <c r="B113" s="270" t="s">
        <v>310</v>
      </c>
      <c r="C113" s="270" t="s">
        <v>311</v>
      </c>
      <c r="D113" s="696" t="str">
        <f t="shared" si="8"/>
        <v>100-100-2320-6151-000-32-05</v>
      </c>
      <c r="E113" s="270" t="s">
        <v>312</v>
      </c>
      <c r="F113" s="696">
        <f t="shared" si="7"/>
        <v>0</v>
      </c>
      <c r="G113" s="696">
        <f>VLOOKUP(L113,'Function-Grant'!$C:$AM,11,'Function-Grant'!$C:$AM)</f>
        <v>0</v>
      </c>
      <c r="H113" s="271" t="s">
        <v>311</v>
      </c>
      <c r="J113" s="276" t="s">
        <v>266</v>
      </c>
      <c r="K113" s="697" t="str">
        <f t="shared" si="5"/>
        <v>2320</v>
      </c>
      <c r="L113" s="698">
        <v>6151</v>
      </c>
      <c r="M113" s="697" t="str">
        <f t="shared" si="6"/>
        <v>000</v>
      </c>
      <c r="N113" s="276" t="s">
        <v>814</v>
      </c>
    </row>
    <row r="114" spans="1:14" x14ac:dyDescent="0.2">
      <c r="A114" s="270" t="s">
        <v>249</v>
      </c>
      <c r="B114" s="270" t="s">
        <v>310</v>
      </c>
      <c r="C114" s="270" t="s">
        <v>311</v>
      </c>
      <c r="D114" s="696" t="str">
        <f t="shared" si="8"/>
        <v>100-100-2320-6154-000-32-05</v>
      </c>
      <c r="E114" s="270" t="s">
        <v>312</v>
      </c>
      <c r="F114" s="696">
        <f t="shared" si="7"/>
        <v>16500</v>
      </c>
      <c r="G114" s="696">
        <f>VLOOKUP(L114,'Function-Grant'!$C:$AM,11,'Function-Grant'!$C:$AM)</f>
        <v>16500</v>
      </c>
      <c r="H114" s="271" t="s">
        <v>311</v>
      </c>
      <c r="J114" s="276" t="s">
        <v>266</v>
      </c>
      <c r="K114" s="697" t="str">
        <f t="shared" si="5"/>
        <v>2320</v>
      </c>
      <c r="L114" s="698">
        <v>6154</v>
      </c>
      <c r="M114" s="697" t="str">
        <f t="shared" si="6"/>
        <v>000</v>
      </c>
      <c r="N114" s="276" t="s">
        <v>814</v>
      </c>
    </row>
    <row r="115" spans="1:14" x14ac:dyDescent="0.2">
      <c r="A115" s="270" t="s">
        <v>249</v>
      </c>
      <c r="B115" s="270" t="s">
        <v>310</v>
      </c>
      <c r="C115" s="270" t="s">
        <v>311</v>
      </c>
      <c r="D115" s="696" t="str">
        <f t="shared" si="8"/>
        <v>100-100-2320-6157-000-32-05</v>
      </c>
      <c r="E115" s="270" t="s">
        <v>312</v>
      </c>
      <c r="F115" s="696">
        <f t="shared" si="7"/>
        <v>0</v>
      </c>
      <c r="G115" s="696">
        <f>VLOOKUP(L115,'Function-Grant'!$C:$AM,11,'Function-Grant'!$C:$AM)</f>
        <v>0</v>
      </c>
      <c r="H115" s="271" t="s">
        <v>311</v>
      </c>
      <c r="J115" s="276" t="s">
        <v>266</v>
      </c>
      <c r="K115" s="697" t="str">
        <f t="shared" si="5"/>
        <v>2320</v>
      </c>
      <c r="L115" s="698">
        <v>6157</v>
      </c>
      <c r="M115" s="697" t="str">
        <f t="shared" si="6"/>
        <v>000</v>
      </c>
      <c r="N115" s="276" t="s">
        <v>814</v>
      </c>
    </row>
    <row r="116" spans="1:14" x14ac:dyDescent="0.2">
      <c r="A116" s="270" t="s">
        <v>249</v>
      </c>
      <c r="B116" s="270" t="s">
        <v>310</v>
      </c>
      <c r="C116" s="270" t="s">
        <v>311</v>
      </c>
      <c r="D116" s="696" t="str">
        <f t="shared" si="8"/>
        <v>100-100-2320-6161-000-32-05</v>
      </c>
      <c r="E116" s="270" t="s">
        <v>312</v>
      </c>
      <c r="F116" s="696">
        <f t="shared" si="7"/>
        <v>0</v>
      </c>
      <c r="G116" s="696">
        <f>VLOOKUP(L116,'Function-Grant'!$C:$AM,11,'Function-Grant'!$C:$AM)</f>
        <v>0</v>
      </c>
      <c r="H116" s="271" t="s">
        <v>311</v>
      </c>
      <c r="J116" s="276" t="s">
        <v>266</v>
      </c>
      <c r="K116" s="697" t="str">
        <f t="shared" si="5"/>
        <v>2320</v>
      </c>
      <c r="L116" s="698">
        <v>6161</v>
      </c>
      <c r="M116" s="697" t="str">
        <f t="shared" si="6"/>
        <v>000</v>
      </c>
      <c r="N116" s="276" t="s">
        <v>814</v>
      </c>
    </row>
    <row r="117" spans="1:14" x14ac:dyDescent="0.2">
      <c r="A117" s="270" t="s">
        <v>249</v>
      </c>
      <c r="B117" s="270" t="s">
        <v>310</v>
      </c>
      <c r="C117" s="270" t="s">
        <v>311</v>
      </c>
      <c r="D117" s="696" t="str">
        <f t="shared" si="8"/>
        <v>100-100-2320-6164-000-32-05</v>
      </c>
      <c r="E117" s="270" t="s">
        <v>312</v>
      </c>
      <c r="F117" s="696">
        <f t="shared" si="7"/>
        <v>4500</v>
      </c>
      <c r="G117" s="696">
        <f>VLOOKUP(L117,'Function-Grant'!$C:$AM,11,'Function-Grant'!$C:$AM)</f>
        <v>4500</v>
      </c>
      <c r="H117" s="271" t="s">
        <v>311</v>
      </c>
      <c r="J117" s="276" t="s">
        <v>266</v>
      </c>
      <c r="K117" s="697" t="str">
        <f t="shared" si="5"/>
        <v>2320</v>
      </c>
      <c r="L117" s="698">
        <v>6164</v>
      </c>
      <c r="M117" s="697" t="str">
        <f t="shared" si="6"/>
        <v>000</v>
      </c>
      <c r="N117" s="276" t="s">
        <v>814</v>
      </c>
    </row>
    <row r="118" spans="1:14" x14ac:dyDescent="0.2">
      <c r="A118" s="270" t="s">
        <v>249</v>
      </c>
      <c r="B118" s="270" t="s">
        <v>310</v>
      </c>
      <c r="C118" s="270" t="s">
        <v>311</v>
      </c>
      <c r="D118" s="696" t="str">
        <f t="shared" si="8"/>
        <v>100-100-2320-6167-000-32-05</v>
      </c>
      <c r="E118" s="270" t="s">
        <v>312</v>
      </c>
      <c r="F118" s="696">
        <f t="shared" si="7"/>
        <v>0</v>
      </c>
      <c r="G118" s="696">
        <f>VLOOKUP(L118,'Function-Grant'!$C:$AM,11,'Function-Grant'!$C:$AM)</f>
        <v>0</v>
      </c>
      <c r="H118" s="271" t="s">
        <v>311</v>
      </c>
      <c r="J118" s="276" t="s">
        <v>266</v>
      </c>
      <c r="K118" s="697" t="str">
        <f t="shared" si="5"/>
        <v>2320</v>
      </c>
      <c r="L118" s="698">
        <v>6167</v>
      </c>
      <c r="M118" s="697" t="str">
        <f t="shared" si="6"/>
        <v>000</v>
      </c>
      <c r="N118" s="276" t="s">
        <v>814</v>
      </c>
    </row>
    <row r="119" spans="1:14" x14ac:dyDescent="0.2">
      <c r="A119" s="270" t="s">
        <v>249</v>
      </c>
      <c r="B119" s="270" t="s">
        <v>310</v>
      </c>
      <c r="C119" s="270" t="s">
        <v>311</v>
      </c>
      <c r="D119" s="696" t="str">
        <f t="shared" si="8"/>
        <v>100-100-2320-6211-000-32-05</v>
      </c>
      <c r="E119" s="270" t="s">
        <v>312</v>
      </c>
      <c r="F119" s="696">
        <f t="shared" si="7"/>
        <v>0</v>
      </c>
      <c r="G119" s="696">
        <f>VLOOKUP(L119,'Function-Grant'!$C:$AM,11,'Function-Grant'!$C:$AM)</f>
        <v>0</v>
      </c>
      <c r="H119" s="271" t="s">
        <v>311</v>
      </c>
      <c r="J119" s="276" t="s">
        <v>266</v>
      </c>
      <c r="K119" s="697" t="str">
        <f t="shared" si="5"/>
        <v>2320</v>
      </c>
      <c r="L119" s="698">
        <v>6211</v>
      </c>
      <c r="M119" s="697" t="str">
        <f t="shared" si="6"/>
        <v>000</v>
      </c>
      <c r="N119" s="276" t="s">
        <v>814</v>
      </c>
    </row>
    <row r="120" spans="1:14" x14ac:dyDescent="0.2">
      <c r="A120" s="270" t="s">
        <v>249</v>
      </c>
      <c r="B120" s="270" t="s">
        <v>310</v>
      </c>
      <c r="C120" s="270" t="s">
        <v>311</v>
      </c>
      <c r="D120" s="696" t="str">
        <f t="shared" si="8"/>
        <v>100-100-2320-6214-000-32-05</v>
      </c>
      <c r="E120" s="270" t="s">
        <v>312</v>
      </c>
      <c r="F120" s="696">
        <f t="shared" si="7"/>
        <v>888</v>
      </c>
      <c r="G120" s="696">
        <f>VLOOKUP(L120,'Function-Grant'!$C:$AM,11,'Function-Grant'!$C:$AM)</f>
        <v>888</v>
      </c>
      <c r="H120" s="271" t="s">
        <v>311</v>
      </c>
      <c r="J120" s="276" t="s">
        <v>266</v>
      </c>
      <c r="K120" s="697" t="str">
        <f t="shared" si="5"/>
        <v>2320</v>
      </c>
      <c r="L120" s="698">
        <v>6214</v>
      </c>
      <c r="M120" s="697" t="str">
        <f t="shared" si="6"/>
        <v>000</v>
      </c>
      <c r="N120" s="276" t="s">
        <v>814</v>
      </c>
    </row>
    <row r="121" spans="1:14" x14ac:dyDescent="0.2">
      <c r="A121" s="270" t="s">
        <v>249</v>
      </c>
      <c r="B121" s="270" t="s">
        <v>310</v>
      </c>
      <c r="C121" s="270" t="s">
        <v>311</v>
      </c>
      <c r="D121" s="696" t="str">
        <f t="shared" si="8"/>
        <v>100-100-2320-6217-000-32-05</v>
      </c>
      <c r="E121" s="270" t="s">
        <v>312</v>
      </c>
      <c r="F121" s="696">
        <f t="shared" si="7"/>
        <v>0</v>
      </c>
      <c r="G121" s="696">
        <f>VLOOKUP(L121,'Function-Grant'!$C:$AM,11,'Function-Grant'!$C:$AM)</f>
        <v>0</v>
      </c>
      <c r="H121" s="271" t="s">
        <v>311</v>
      </c>
      <c r="J121" s="276" t="s">
        <v>266</v>
      </c>
      <c r="K121" s="697" t="str">
        <f t="shared" si="5"/>
        <v>2320</v>
      </c>
      <c r="L121" s="698">
        <v>6217</v>
      </c>
      <c r="M121" s="697" t="str">
        <f t="shared" si="6"/>
        <v>000</v>
      </c>
      <c r="N121" s="276" t="s">
        <v>814</v>
      </c>
    </row>
    <row r="122" spans="1:14" x14ac:dyDescent="0.2">
      <c r="A122" s="270" t="s">
        <v>249</v>
      </c>
      <c r="B122" s="270" t="s">
        <v>310</v>
      </c>
      <c r="C122" s="270" t="s">
        <v>311</v>
      </c>
      <c r="D122" s="696" t="str">
        <f t="shared" si="8"/>
        <v>100-100-2320-6221-000-32-05</v>
      </c>
      <c r="E122" s="270" t="s">
        <v>312</v>
      </c>
      <c r="F122" s="696">
        <f t="shared" si="7"/>
        <v>0</v>
      </c>
      <c r="G122" s="696" t="e">
        <f>VLOOKUP(L122,'Function-Grant'!$C:$AM,11,'Function-Grant'!$C:$AM)</f>
        <v>#N/A</v>
      </c>
      <c r="H122" s="271" t="s">
        <v>311</v>
      </c>
      <c r="J122" s="276" t="s">
        <v>266</v>
      </c>
      <c r="K122" s="697" t="str">
        <f t="shared" si="5"/>
        <v>2320</v>
      </c>
      <c r="L122" s="698">
        <v>6221</v>
      </c>
      <c r="M122" s="697" t="str">
        <f t="shared" si="6"/>
        <v>000</v>
      </c>
      <c r="N122" s="276" t="s">
        <v>814</v>
      </c>
    </row>
    <row r="123" spans="1:14" x14ac:dyDescent="0.2">
      <c r="A123" s="270" t="s">
        <v>249</v>
      </c>
      <c r="B123" s="270" t="s">
        <v>310</v>
      </c>
      <c r="C123" s="270" t="s">
        <v>311</v>
      </c>
      <c r="D123" s="696" t="str">
        <f t="shared" si="8"/>
        <v>100-100-2320-6222-000-32-05</v>
      </c>
      <c r="E123" s="270" t="s">
        <v>312</v>
      </c>
      <c r="F123" s="696">
        <f t="shared" si="7"/>
        <v>0</v>
      </c>
      <c r="G123" s="696" t="e">
        <f>VLOOKUP(L123,'Function-Grant'!$C:$AM,11,'Function-Grant'!$C:$AM)</f>
        <v>#N/A</v>
      </c>
      <c r="H123" s="271" t="s">
        <v>311</v>
      </c>
      <c r="J123" s="276" t="s">
        <v>266</v>
      </c>
      <c r="K123" s="697" t="str">
        <f t="shared" si="5"/>
        <v>2320</v>
      </c>
      <c r="L123" s="698">
        <v>6222</v>
      </c>
      <c r="M123" s="697" t="str">
        <f t="shared" si="6"/>
        <v>000</v>
      </c>
      <c r="N123" s="276" t="s">
        <v>814</v>
      </c>
    </row>
    <row r="124" spans="1:14" x14ac:dyDescent="0.2">
      <c r="A124" s="270" t="s">
        <v>249</v>
      </c>
      <c r="B124" s="270" t="s">
        <v>310</v>
      </c>
      <c r="C124" s="270" t="s">
        <v>311</v>
      </c>
      <c r="D124" s="696" t="str">
        <f t="shared" si="8"/>
        <v>100-100-2320-6227-000-32-05</v>
      </c>
      <c r="E124" s="270" t="s">
        <v>312</v>
      </c>
      <c r="F124" s="696">
        <f t="shared" si="7"/>
        <v>0</v>
      </c>
      <c r="G124" s="696">
        <f>VLOOKUP(L124,'Function-Grant'!$C:$AM,11,'Function-Grant'!$C:$AM)</f>
        <v>0</v>
      </c>
      <c r="H124" s="271" t="s">
        <v>311</v>
      </c>
      <c r="J124" s="276" t="s">
        <v>266</v>
      </c>
      <c r="K124" s="697" t="str">
        <f t="shared" si="5"/>
        <v>2320</v>
      </c>
      <c r="L124" s="698">
        <v>6227</v>
      </c>
      <c r="M124" s="697" t="str">
        <f t="shared" si="6"/>
        <v>000</v>
      </c>
      <c r="N124" s="276" t="s">
        <v>814</v>
      </c>
    </row>
    <row r="125" spans="1:14" x14ac:dyDescent="0.2">
      <c r="A125" s="270" t="s">
        <v>249</v>
      </c>
      <c r="B125" s="270" t="s">
        <v>310</v>
      </c>
      <c r="C125" s="270" t="s">
        <v>311</v>
      </c>
      <c r="D125" s="696" t="str">
        <f t="shared" si="8"/>
        <v>100-100-2320-6231-000-32-05</v>
      </c>
      <c r="E125" s="270" t="s">
        <v>312</v>
      </c>
      <c r="F125" s="696">
        <f t="shared" si="7"/>
        <v>0</v>
      </c>
      <c r="G125" s="696">
        <f>VLOOKUP(L125,'Function-Grant'!$C:$AM,11,'Function-Grant'!$C:$AM)</f>
        <v>0</v>
      </c>
      <c r="H125" s="271" t="s">
        <v>311</v>
      </c>
      <c r="J125" s="276" t="s">
        <v>266</v>
      </c>
      <c r="K125" s="697" t="str">
        <f t="shared" si="5"/>
        <v>2320</v>
      </c>
      <c r="L125" s="698">
        <v>6231</v>
      </c>
      <c r="M125" s="697" t="str">
        <f t="shared" si="6"/>
        <v>000</v>
      </c>
      <c r="N125" s="276" t="s">
        <v>814</v>
      </c>
    </row>
    <row r="126" spans="1:14" x14ac:dyDescent="0.2">
      <c r="A126" s="270" t="s">
        <v>249</v>
      </c>
      <c r="B126" s="270" t="s">
        <v>310</v>
      </c>
      <c r="C126" s="270" t="s">
        <v>311</v>
      </c>
      <c r="D126" s="696" t="str">
        <f t="shared" si="8"/>
        <v>100-100-2320-6234-000-32-05</v>
      </c>
      <c r="E126" s="270" t="s">
        <v>312</v>
      </c>
      <c r="F126" s="696">
        <f t="shared" si="7"/>
        <v>78481.40625</v>
      </c>
      <c r="G126" s="696">
        <f>VLOOKUP(L126,'Function-Grant'!$C:$AM,11,'Function-Grant'!$C:$AM)</f>
        <v>78481.40625</v>
      </c>
      <c r="H126" s="271" t="s">
        <v>311</v>
      </c>
      <c r="J126" s="276" t="s">
        <v>266</v>
      </c>
      <c r="K126" s="697" t="str">
        <f t="shared" si="5"/>
        <v>2320</v>
      </c>
      <c r="L126" s="698">
        <v>6234</v>
      </c>
      <c r="M126" s="697" t="str">
        <f t="shared" si="6"/>
        <v>000</v>
      </c>
      <c r="N126" s="276" t="s">
        <v>814</v>
      </c>
    </row>
    <row r="127" spans="1:14" x14ac:dyDescent="0.2">
      <c r="A127" s="270" t="s">
        <v>249</v>
      </c>
      <c r="B127" s="270" t="s">
        <v>310</v>
      </c>
      <c r="C127" s="270" t="s">
        <v>311</v>
      </c>
      <c r="D127" s="696" t="str">
        <f t="shared" si="8"/>
        <v>100-100-2320-6237-000-32-05</v>
      </c>
      <c r="E127" s="270" t="s">
        <v>312</v>
      </c>
      <c r="F127" s="696">
        <f t="shared" si="7"/>
        <v>0</v>
      </c>
      <c r="G127" s="696">
        <f>VLOOKUP(L127,'Function-Grant'!$C:$AM,11,'Function-Grant'!$C:$AM)</f>
        <v>0</v>
      </c>
      <c r="H127" s="271" t="s">
        <v>311</v>
      </c>
      <c r="J127" s="276" t="s">
        <v>266</v>
      </c>
      <c r="K127" s="697" t="str">
        <f t="shared" si="5"/>
        <v>2320</v>
      </c>
      <c r="L127" s="698">
        <v>6237</v>
      </c>
      <c r="M127" s="697" t="str">
        <f t="shared" si="6"/>
        <v>000</v>
      </c>
      <c r="N127" s="276" t="s">
        <v>814</v>
      </c>
    </row>
    <row r="128" spans="1:14" x14ac:dyDescent="0.2">
      <c r="A128" s="270" t="s">
        <v>249</v>
      </c>
      <c r="B128" s="270" t="s">
        <v>310</v>
      </c>
      <c r="C128" s="270" t="s">
        <v>311</v>
      </c>
      <c r="D128" s="696" t="str">
        <f t="shared" si="8"/>
        <v>100-100-2320-6241-000-32-05</v>
      </c>
      <c r="E128" s="270" t="s">
        <v>312</v>
      </c>
      <c r="F128" s="696">
        <f t="shared" si="7"/>
        <v>0</v>
      </c>
      <c r="G128" s="696">
        <f>VLOOKUP(L128,'Function-Grant'!$C:$AM,11,'Function-Grant'!$C:$AM)</f>
        <v>0</v>
      </c>
      <c r="H128" s="271" t="s">
        <v>311</v>
      </c>
      <c r="J128" s="276" t="s">
        <v>266</v>
      </c>
      <c r="K128" s="697" t="str">
        <f t="shared" si="5"/>
        <v>2320</v>
      </c>
      <c r="L128" s="698">
        <v>6241</v>
      </c>
      <c r="M128" s="697" t="str">
        <f t="shared" si="6"/>
        <v>000</v>
      </c>
      <c r="N128" s="276" t="s">
        <v>814</v>
      </c>
    </row>
    <row r="129" spans="1:14" x14ac:dyDescent="0.2">
      <c r="A129" s="270" t="s">
        <v>249</v>
      </c>
      <c r="B129" s="270" t="s">
        <v>310</v>
      </c>
      <c r="C129" s="270" t="s">
        <v>311</v>
      </c>
      <c r="D129" s="696" t="str">
        <f t="shared" si="8"/>
        <v>100-100-2320-6242-000-32-05</v>
      </c>
      <c r="E129" s="270" t="s">
        <v>312</v>
      </c>
      <c r="F129" s="696">
        <f t="shared" si="7"/>
        <v>0</v>
      </c>
      <c r="G129" s="696" t="e">
        <f>VLOOKUP(L129,'Function-Grant'!$C:$AM,11,'Function-Grant'!$C:$AM)</f>
        <v>#N/A</v>
      </c>
      <c r="H129" s="271" t="s">
        <v>311</v>
      </c>
      <c r="J129" s="276" t="s">
        <v>266</v>
      </c>
      <c r="K129" s="697" t="str">
        <f t="shared" si="5"/>
        <v>2320</v>
      </c>
      <c r="L129" s="698">
        <v>6242</v>
      </c>
      <c r="M129" s="697" t="str">
        <f t="shared" si="6"/>
        <v>000</v>
      </c>
      <c r="N129" s="276" t="s">
        <v>814</v>
      </c>
    </row>
    <row r="130" spans="1:14" x14ac:dyDescent="0.2">
      <c r="A130" s="270" t="s">
        <v>249</v>
      </c>
      <c r="B130" s="270" t="s">
        <v>310</v>
      </c>
      <c r="C130" s="270" t="s">
        <v>311</v>
      </c>
      <c r="D130" s="696" t="str">
        <f t="shared" si="8"/>
        <v>100-100-2320-6244-000-32-05</v>
      </c>
      <c r="E130" s="270" t="s">
        <v>312</v>
      </c>
      <c r="F130" s="696">
        <f t="shared" si="7"/>
        <v>4195.03125</v>
      </c>
      <c r="G130" s="696">
        <f>VLOOKUP(L130,'Function-Grant'!$C:$AM,11,'Function-Grant'!$C:$AM)</f>
        <v>4195.03125</v>
      </c>
      <c r="H130" s="271" t="s">
        <v>311</v>
      </c>
      <c r="J130" s="276" t="s">
        <v>266</v>
      </c>
      <c r="K130" s="697" t="str">
        <f t="shared" si="5"/>
        <v>2320</v>
      </c>
      <c r="L130" s="698">
        <v>6244</v>
      </c>
      <c r="M130" s="697" t="str">
        <f t="shared" si="6"/>
        <v>000</v>
      </c>
      <c r="N130" s="276" t="s">
        <v>814</v>
      </c>
    </row>
    <row r="131" spans="1:14" x14ac:dyDescent="0.2">
      <c r="A131" s="270" t="s">
        <v>249</v>
      </c>
      <c r="B131" s="270" t="s">
        <v>310</v>
      </c>
      <c r="C131" s="270" t="s">
        <v>311</v>
      </c>
      <c r="D131" s="696" t="str">
        <f t="shared" si="8"/>
        <v>100-100-2320-6247-000-32-05</v>
      </c>
      <c r="E131" s="270" t="s">
        <v>312</v>
      </c>
      <c r="F131" s="696">
        <f t="shared" si="7"/>
        <v>0</v>
      </c>
      <c r="G131" s="696">
        <f>VLOOKUP(L131,'Function-Grant'!$C:$AM,11,'Function-Grant'!$C:$AM)</f>
        <v>0</v>
      </c>
      <c r="H131" s="271" t="s">
        <v>311</v>
      </c>
      <c r="J131" s="276" t="s">
        <v>266</v>
      </c>
      <c r="K131" s="697" t="str">
        <f t="shared" si="5"/>
        <v>2320</v>
      </c>
      <c r="L131" s="698">
        <v>6247</v>
      </c>
      <c r="M131" s="697" t="str">
        <f t="shared" si="6"/>
        <v>000</v>
      </c>
      <c r="N131" s="276" t="s">
        <v>814</v>
      </c>
    </row>
    <row r="132" spans="1:14" x14ac:dyDescent="0.2">
      <c r="A132" s="270" t="s">
        <v>249</v>
      </c>
      <c r="B132" s="270" t="s">
        <v>310</v>
      </c>
      <c r="C132" s="270" t="s">
        <v>311</v>
      </c>
      <c r="D132" s="696" t="str">
        <f t="shared" si="8"/>
        <v>100-100-2320-6261-000-32-05</v>
      </c>
      <c r="E132" s="270" t="s">
        <v>312</v>
      </c>
      <c r="F132" s="696">
        <f t="shared" si="7"/>
        <v>0</v>
      </c>
      <c r="G132" s="696">
        <f>VLOOKUP(L132,'Function-Grant'!$C:$AM,11,'Function-Grant'!$C:$AM)</f>
        <v>0</v>
      </c>
      <c r="H132" s="271" t="s">
        <v>311</v>
      </c>
      <c r="J132" s="276" t="s">
        <v>266</v>
      </c>
      <c r="K132" s="697" t="str">
        <f t="shared" si="5"/>
        <v>2320</v>
      </c>
      <c r="L132" s="698">
        <v>6261</v>
      </c>
      <c r="M132" s="697" t="str">
        <f t="shared" si="6"/>
        <v>000</v>
      </c>
      <c r="N132" s="276" t="s">
        <v>814</v>
      </c>
    </row>
    <row r="133" spans="1:14" x14ac:dyDescent="0.2">
      <c r="A133" s="270" t="s">
        <v>249</v>
      </c>
      <c r="B133" s="270" t="s">
        <v>310</v>
      </c>
      <c r="C133" s="270" t="s">
        <v>311</v>
      </c>
      <c r="D133" s="696" t="str">
        <f t="shared" si="8"/>
        <v>100-100-2320-6262-000-32-05</v>
      </c>
      <c r="E133" s="270" t="s">
        <v>312</v>
      </c>
      <c r="F133" s="696">
        <f t="shared" si="7"/>
        <v>0</v>
      </c>
      <c r="G133" s="696" t="e">
        <f>VLOOKUP(L133,'Function-Grant'!$C:$AM,11,'Function-Grant'!$C:$AM)</f>
        <v>#N/A</v>
      </c>
      <c r="H133" s="271" t="s">
        <v>311</v>
      </c>
      <c r="J133" s="276" t="s">
        <v>266</v>
      </c>
      <c r="K133" s="697" t="str">
        <f t="shared" si="5"/>
        <v>2320</v>
      </c>
      <c r="L133" s="698">
        <v>6262</v>
      </c>
      <c r="M133" s="697" t="str">
        <f t="shared" si="6"/>
        <v>000</v>
      </c>
      <c r="N133" s="276" t="s">
        <v>814</v>
      </c>
    </row>
    <row r="134" spans="1:14" x14ac:dyDescent="0.2">
      <c r="A134" s="270" t="s">
        <v>249</v>
      </c>
      <c r="B134" s="270" t="s">
        <v>310</v>
      </c>
      <c r="C134" s="270" t="s">
        <v>311</v>
      </c>
      <c r="D134" s="696" t="str">
        <f t="shared" si="8"/>
        <v>100-100-2320-6264-000-32-05</v>
      </c>
      <c r="E134" s="270" t="s">
        <v>312</v>
      </c>
      <c r="F134" s="696">
        <f t="shared" si="7"/>
        <v>975</v>
      </c>
      <c r="G134" s="696">
        <f>VLOOKUP(L134,'Function-Grant'!$C:$AM,11,'Function-Grant'!$C:$AM)</f>
        <v>975</v>
      </c>
      <c r="H134" s="271" t="s">
        <v>311</v>
      </c>
      <c r="J134" s="276" t="s">
        <v>266</v>
      </c>
      <c r="K134" s="697" t="str">
        <f t="shared" ref="K134:K198" si="13">LEFT(J134,4)</f>
        <v>2320</v>
      </c>
      <c r="L134" s="698">
        <v>6264</v>
      </c>
      <c r="M134" s="697" t="str">
        <f t="shared" ref="M134:M198" si="14">RIGHT(J134,3)</f>
        <v>000</v>
      </c>
      <c r="N134" s="276" t="s">
        <v>814</v>
      </c>
    </row>
    <row r="135" spans="1:14" x14ac:dyDescent="0.2">
      <c r="A135" s="270" t="s">
        <v>249</v>
      </c>
      <c r="B135" s="270" t="s">
        <v>310</v>
      </c>
      <c r="C135" s="270" t="s">
        <v>311</v>
      </c>
      <c r="D135" s="696" t="str">
        <f t="shared" si="8"/>
        <v>100-100-2320-6267-000-32-05</v>
      </c>
      <c r="E135" s="270" t="s">
        <v>312</v>
      </c>
      <c r="F135" s="696">
        <f t="shared" si="7"/>
        <v>0</v>
      </c>
      <c r="G135" s="696">
        <f>VLOOKUP(L135,'Function-Grant'!$C:$AM,11,'Function-Grant'!$C:$AM)</f>
        <v>0</v>
      </c>
      <c r="H135" s="271" t="s">
        <v>311</v>
      </c>
      <c r="J135" s="276" t="s">
        <v>266</v>
      </c>
      <c r="K135" s="697" t="str">
        <f t="shared" si="13"/>
        <v>2320</v>
      </c>
      <c r="L135" s="698">
        <v>6267</v>
      </c>
      <c r="M135" s="697" t="str">
        <f t="shared" si="14"/>
        <v>000</v>
      </c>
      <c r="N135" s="276" t="s">
        <v>814</v>
      </c>
    </row>
    <row r="136" spans="1:14" x14ac:dyDescent="0.2">
      <c r="A136" s="270" t="s">
        <v>249</v>
      </c>
      <c r="B136" s="270" t="s">
        <v>310</v>
      </c>
      <c r="C136" s="270" t="s">
        <v>311</v>
      </c>
      <c r="D136" s="696" t="str">
        <f t="shared" si="8"/>
        <v>100-100-2320-6271-000-32-05</v>
      </c>
      <c r="E136" s="270" t="s">
        <v>312</v>
      </c>
      <c r="F136" s="696">
        <f t="shared" si="7"/>
        <v>0</v>
      </c>
      <c r="G136" s="696">
        <f>VLOOKUP(L136,'Function-Grant'!$C:$AM,11,'Function-Grant'!$C:$AM)</f>
        <v>0</v>
      </c>
      <c r="H136" s="271" t="s">
        <v>311</v>
      </c>
      <c r="J136" s="276" t="s">
        <v>266</v>
      </c>
      <c r="K136" s="697" t="str">
        <f t="shared" si="13"/>
        <v>2320</v>
      </c>
      <c r="L136" s="698">
        <v>6271</v>
      </c>
      <c r="M136" s="697" t="str">
        <f t="shared" si="14"/>
        <v>000</v>
      </c>
      <c r="N136" s="276" t="s">
        <v>814</v>
      </c>
    </row>
    <row r="137" spans="1:14" x14ac:dyDescent="0.2">
      <c r="A137" s="270" t="s">
        <v>249</v>
      </c>
      <c r="B137" s="270" t="s">
        <v>310</v>
      </c>
      <c r="C137" s="270" t="s">
        <v>311</v>
      </c>
      <c r="D137" s="696" t="str">
        <f t="shared" si="8"/>
        <v>100-100-2320-6274-000-32-05</v>
      </c>
      <c r="E137" s="270" t="s">
        <v>312</v>
      </c>
      <c r="F137" s="696">
        <f t="shared" si="7"/>
        <v>2169.84375</v>
      </c>
      <c r="G137" s="696">
        <f>VLOOKUP(L137,'Function-Grant'!$C:$AM,11,'Function-Grant'!$C:$AM)</f>
        <v>2169.84375</v>
      </c>
      <c r="H137" s="271" t="s">
        <v>311</v>
      </c>
      <c r="J137" s="276" t="s">
        <v>266</v>
      </c>
      <c r="K137" s="697" t="str">
        <f t="shared" si="13"/>
        <v>2320</v>
      </c>
      <c r="L137" s="698">
        <v>6274</v>
      </c>
      <c r="M137" s="697" t="str">
        <f t="shared" si="14"/>
        <v>000</v>
      </c>
      <c r="N137" s="276" t="s">
        <v>814</v>
      </c>
    </row>
    <row r="138" spans="1:14" x14ac:dyDescent="0.2">
      <c r="A138" s="270" t="s">
        <v>249</v>
      </c>
      <c r="B138" s="270" t="s">
        <v>310</v>
      </c>
      <c r="C138" s="270" t="s">
        <v>311</v>
      </c>
      <c r="D138" s="696" t="str">
        <f t="shared" si="8"/>
        <v>100-100-2320-6277-000-32-05</v>
      </c>
      <c r="E138" s="270" t="s">
        <v>312</v>
      </c>
      <c r="F138" s="696">
        <f t="shared" si="7"/>
        <v>0</v>
      </c>
      <c r="G138" s="696">
        <f>VLOOKUP(L138,'Function-Grant'!$C:$AM,11,'Function-Grant'!$C:$AM)</f>
        <v>0</v>
      </c>
      <c r="H138" s="271" t="s">
        <v>311</v>
      </c>
      <c r="J138" s="276" t="s">
        <v>266</v>
      </c>
      <c r="K138" s="697" t="str">
        <f t="shared" si="13"/>
        <v>2320</v>
      </c>
      <c r="L138" s="698">
        <v>6277</v>
      </c>
      <c r="M138" s="697" t="str">
        <f t="shared" si="14"/>
        <v>000</v>
      </c>
      <c r="N138" s="276" t="s">
        <v>814</v>
      </c>
    </row>
    <row r="139" spans="1:14" x14ac:dyDescent="0.2">
      <c r="A139" s="270" t="s">
        <v>249</v>
      </c>
      <c r="B139" s="270" t="s">
        <v>310</v>
      </c>
      <c r="C139" s="270" t="s">
        <v>311</v>
      </c>
      <c r="D139" s="696" t="str">
        <f t="shared" si="8"/>
        <v>100-100-2320-6281-000-32-05</v>
      </c>
      <c r="E139" s="270" t="s">
        <v>312</v>
      </c>
      <c r="F139" s="696">
        <f t="shared" si="7"/>
        <v>0</v>
      </c>
      <c r="G139" s="696">
        <f>VLOOKUP(L139,'Function-Grant'!$C:$AM,11,'Function-Grant'!$C:$AM)</f>
        <v>0</v>
      </c>
      <c r="H139" s="271" t="s">
        <v>311</v>
      </c>
      <c r="J139" s="276" t="s">
        <v>266</v>
      </c>
      <c r="K139" s="697" t="str">
        <f t="shared" si="13"/>
        <v>2320</v>
      </c>
      <c r="L139" s="698">
        <v>6281</v>
      </c>
      <c r="M139" s="697" t="str">
        <f t="shared" si="14"/>
        <v>000</v>
      </c>
      <c r="N139" s="276" t="s">
        <v>814</v>
      </c>
    </row>
    <row r="140" spans="1:14" x14ac:dyDescent="0.2">
      <c r="A140" s="270" t="s">
        <v>249</v>
      </c>
      <c r="B140" s="270" t="s">
        <v>310</v>
      </c>
      <c r="C140" s="270" t="s">
        <v>311</v>
      </c>
      <c r="D140" s="696" t="str">
        <f t="shared" si="8"/>
        <v>100-100-2320-6284-000-32-05</v>
      </c>
      <c r="E140" s="270" t="s">
        <v>312</v>
      </c>
      <c r="F140" s="696">
        <f t="shared" si="7"/>
        <v>9720</v>
      </c>
      <c r="G140" s="696">
        <f>VLOOKUP(L140,'Function-Grant'!$C:$AM,11,'Function-Grant'!$C:$AM)</f>
        <v>9720</v>
      </c>
      <c r="H140" s="271" t="s">
        <v>311</v>
      </c>
      <c r="J140" s="276" t="s">
        <v>266</v>
      </c>
      <c r="K140" s="697" t="str">
        <f t="shared" si="13"/>
        <v>2320</v>
      </c>
      <c r="L140" s="698">
        <v>6284</v>
      </c>
      <c r="M140" s="697" t="str">
        <f t="shared" si="14"/>
        <v>000</v>
      </c>
      <c r="N140" s="276" t="s">
        <v>814</v>
      </c>
    </row>
    <row r="141" spans="1:14" x14ac:dyDescent="0.2">
      <c r="A141" s="270" t="s">
        <v>249</v>
      </c>
      <c r="B141" s="270" t="s">
        <v>310</v>
      </c>
      <c r="C141" s="270" t="s">
        <v>311</v>
      </c>
      <c r="D141" s="696" t="str">
        <f t="shared" si="8"/>
        <v>100-100-2320-6287-000-32-05</v>
      </c>
      <c r="E141" s="270" t="s">
        <v>312</v>
      </c>
      <c r="F141" s="696">
        <f t="shared" si="7"/>
        <v>0</v>
      </c>
      <c r="G141" s="696">
        <f>VLOOKUP(L141,'Function-Grant'!$C:$AM,11,'Function-Grant'!$C:$AM)</f>
        <v>0</v>
      </c>
      <c r="H141" s="271" t="s">
        <v>311</v>
      </c>
      <c r="J141" s="276" t="s">
        <v>266</v>
      </c>
      <c r="K141" s="697" t="str">
        <f t="shared" si="13"/>
        <v>2320</v>
      </c>
      <c r="L141" s="698">
        <v>6287</v>
      </c>
      <c r="M141" s="697" t="str">
        <f t="shared" si="14"/>
        <v>000</v>
      </c>
      <c r="N141" s="276" t="s">
        <v>814</v>
      </c>
    </row>
    <row r="142" spans="1:14" x14ac:dyDescent="0.2">
      <c r="A142" s="270" t="s">
        <v>249</v>
      </c>
      <c r="B142" s="270" t="s">
        <v>310</v>
      </c>
      <c r="C142" s="270" t="s">
        <v>311</v>
      </c>
      <c r="D142" s="696" t="str">
        <f t="shared" si="8"/>
        <v>100-100-2320-6300-000-32-05</v>
      </c>
      <c r="E142" s="270" t="s">
        <v>312</v>
      </c>
      <c r="F142" s="696">
        <f t="shared" si="7"/>
        <v>0</v>
      </c>
      <c r="G142" s="696">
        <f>VLOOKUP(L142,'Function-Grant'!$C:$AM,11,'Function-Grant'!$C:$AM)</f>
        <v>0</v>
      </c>
      <c r="H142" s="271" t="s">
        <v>311</v>
      </c>
      <c r="J142" s="276" t="s">
        <v>266</v>
      </c>
      <c r="K142" s="697" t="str">
        <f t="shared" si="13"/>
        <v>2320</v>
      </c>
      <c r="L142" s="698">
        <v>6300</v>
      </c>
      <c r="M142" s="697" t="str">
        <f t="shared" si="14"/>
        <v>000</v>
      </c>
      <c r="N142" s="276" t="s">
        <v>814</v>
      </c>
    </row>
    <row r="143" spans="1:14" x14ac:dyDescent="0.2">
      <c r="A143" s="270" t="s">
        <v>249</v>
      </c>
      <c r="B143" s="270" t="s">
        <v>310</v>
      </c>
      <c r="C143" s="270" t="s">
        <v>311</v>
      </c>
      <c r="D143" s="696" t="str">
        <f t="shared" si="8"/>
        <v>100-100-2320-6320-000-32-05</v>
      </c>
      <c r="E143" s="270" t="s">
        <v>312</v>
      </c>
      <c r="F143" s="696">
        <f t="shared" si="7"/>
        <v>0</v>
      </c>
      <c r="G143" s="696">
        <f>VLOOKUP(L143,'Function-Grant'!$C:$AM,11,'Function-Grant'!$C:$AM)</f>
        <v>0</v>
      </c>
      <c r="H143" s="271" t="s">
        <v>311</v>
      </c>
      <c r="J143" s="276" t="s">
        <v>266</v>
      </c>
      <c r="K143" s="697" t="str">
        <f t="shared" si="13"/>
        <v>2320</v>
      </c>
      <c r="L143" s="698">
        <v>6320</v>
      </c>
      <c r="M143" s="697" t="str">
        <f t="shared" si="14"/>
        <v>000</v>
      </c>
      <c r="N143" s="276" t="s">
        <v>814</v>
      </c>
    </row>
    <row r="144" spans="1:14" x14ac:dyDescent="0.2">
      <c r="A144" s="270" t="s">
        <v>249</v>
      </c>
      <c r="B144" s="270" t="s">
        <v>310</v>
      </c>
      <c r="C144" s="270" t="s">
        <v>311</v>
      </c>
      <c r="D144" s="696" t="str">
        <f t="shared" si="8"/>
        <v>100-100-2320-6331-000-32-05</v>
      </c>
      <c r="E144" s="270" t="s">
        <v>312</v>
      </c>
      <c r="F144" s="696">
        <f t="shared" si="7"/>
        <v>0</v>
      </c>
      <c r="G144" s="696">
        <f>VLOOKUP(L144,'Function-Grant'!$C:$AM,11,'Function-Grant'!$C:$AM)</f>
        <v>0</v>
      </c>
      <c r="H144" s="271" t="s">
        <v>311</v>
      </c>
      <c r="J144" s="276" t="s">
        <v>266</v>
      </c>
      <c r="K144" s="697" t="str">
        <f t="shared" si="13"/>
        <v>2320</v>
      </c>
      <c r="L144" s="698">
        <v>6331</v>
      </c>
      <c r="M144" s="697" t="str">
        <f t="shared" si="14"/>
        <v>000</v>
      </c>
      <c r="N144" s="276" t="s">
        <v>814</v>
      </c>
    </row>
    <row r="145" spans="1:14" x14ac:dyDescent="0.2">
      <c r="A145" s="270" t="s">
        <v>249</v>
      </c>
      <c r="B145" s="270" t="s">
        <v>310</v>
      </c>
      <c r="C145" s="270" t="s">
        <v>311</v>
      </c>
      <c r="D145" s="696" t="str">
        <f t="shared" si="8"/>
        <v>100-100-2320-6334-000-32-05</v>
      </c>
      <c r="E145" s="270" t="s">
        <v>312</v>
      </c>
      <c r="F145" s="696">
        <f t="shared" si="7"/>
        <v>9458</v>
      </c>
      <c r="G145" s="696">
        <f>VLOOKUP(L145,'Function-Grant'!$C:$AM,11,'Function-Grant'!$C:$AM)</f>
        <v>9458</v>
      </c>
      <c r="H145" s="271" t="s">
        <v>311</v>
      </c>
      <c r="J145" s="276" t="s">
        <v>266</v>
      </c>
      <c r="K145" s="697" t="str">
        <f t="shared" si="13"/>
        <v>2320</v>
      </c>
      <c r="L145" s="698">
        <v>6334</v>
      </c>
      <c r="M145" s="697" t="str">
        <f t="shared" si="14"/>
        <v>000</v>
      </c>
      <c r="N145" s="276" t="s">
        <v>814</v>
      </c>
    </row>
    <row r="146" spans="1:14" x14ac:dyDescent="0.2">
      <c r="A146" s="270" t="s">
        <v>249</v>
      </c>
      <c r="B146" s="270" t="s">
        <v>310</v>
      </c>
      <c r="C146" s="270" t="s">
        <v>311</v>
      </c>
      <c r="D146" s="696" t="str">
        <f t="shared" ref="D146" si="15">CONCATENATE("100-100-",K146,"-",L146,"-",M146,"-",N146)</f>
        <v>100-100-2320-6334-709-32-05</v>
      </c>
      <c r="E146" s="270" t="s">
        <v>312</v>
      </c>
      <c r="F146" s="696">
        <f t="shared" ref="F146" si="16">IFERROR(G146,0)</f>
        <v>800</v>
      </c>
      <c r="G146" s="696">
        <f>VLOOKUP(L146,'Function-Grant'!$C:$AM,36,'Function-Grant'!$C:$AM)</f>
        <v>800</v>
      </c>
      <c r="H146" s="271" t="s">
        <v>311</v>
      </c>
      <c r="J146" s="276" t="s">
        <v>289</v>
      </c>
      <c r="K146" s="697" t="str">
        <f t="shared" ref="K146" si="17">LEFT(J146,4)</f>
        <v>2320</v>
      </c>
      <c r="L146" s="698">
        <v>6334</v>
      </c>
      <c r="M146" s="697" t="str">
        <f t="shared" ref="M146" si="18">RIGHT(J146,3)</f>
        <v>709</v>
      </c>
      <c r="N146" s="276" t="s">
        <v>814</v>
      </c>
    </row>
    <row r="147" spans="1:14" x14ac:dyDescent="0.2">
      <c r="A147" s="270" t="s">
        <v>249</v>
      </c>
      <c r="B147" s="270" t="s">
        <v>310</v>
      </c>
      <c r="C147" s="270" t="s">
        <v>311</v>
      </c>
      <c r="D147" s="696" t="str">
        <f t="shared" si="8"/>
        <v>100-100-2320-6336-000-32-05</v>
      </c>
      <c r="E147" s="270" t="s">
        <v>312</v>
      </c>
      <c r="F147" s="696">
        <f t="shared" si="7"/>
        <v>0</v>
      </c>
      <c r="G147" s="696">
        <f>VLOOKUP(L147,'Function-Grant'!$C:$AM,11,'Function-Grant'!$C:$AM)</f>
        <v>0</v>
      </c>
      <c r="H147" s="271" t="s">
        <v>311</v>
      </c>
      <c r="J147" s="276" t="s">
        <v>266</v>
      </c>
      <c r="K147" s="697" t="str">
        <f t="shared" si="13"/>
        <v>2320</v>
      </c>
      <c r="L147" s="698">
        <v>6336</v>
      </c>
      <c r="M147" s="697" t="str">
        <f t="shared" si="14"/>
        <v>000</v>
      </c>
      <c r="N147" s="276" t="s">
        <v>814</v>
      </c>
    </row>
    <row r="148" spans="1:14" x14ac:dyDescent="0.2">
      <c r="A148" s="270" t="s">
        <v>249</v>
      </c>
      <c r="B148" s="270" t="s">
        <v>310</v>
      </c>
      <c r="C148" s="270" t="s">
        <v>311</v>
      </c>
      <c r="D148" s="696" t="str">
        <f t="shared" si="8"/>
        <v>100-100-2320-6337-000-32-05</v>
      </c>
      <c r="E148" s="270" t="s">
        <v>312</v>
      </c>
      <c r="F148" s="696">
        <f t="shared" si="7"/>
        <v>0</v>
      </c>
      <c r="G148" s="696">
        <f>VLOOKUP(L148,'Function-Grant'!$C:$AM,11,'Function-Grant'!$C:$AM)</f>
        <v>0</v>
      </c>
      <c r="H148" s="271" t="s">
        <v>311</v>
      </c>
      <c r="J148" s="276" t="s">
        <v>266</v>
      </c>
      <c r="K148" s="697" t="str">
        <f t="shared" si="13"/>
        <v>2320</v>
      </c>
      <c r="L148" s="698">
        <v>6337</v>
      </c>
      <c r="M148" s="697" t="str">
        <f t="shared" si="14"/>
        <v>000</v>
      </c>
      <c r="N148" s="276" t="s">
        <v>814</v>
      </c>
    </row>
    <row r="149" spans="1:14" x14ac:dyDescent="0.2">
      <c r="A149" s="270" t="s">
        <v>249</v>
      </c>
      <c r="B149" s="270" t="s">
        <v>310</v>
      </c>
      <c r="C149" s="270" t="s">
        <v>311</v>
      </c>
      <c r="D149" s="696" t="str">
        <f t="shared" si="8"/>
        <v>100-100-2320-6340-000-32-05</v>
      </c>
      <c r="E149" s="270" t="s">
        <v>312</v>
      </c>
      <c r="F149" s="696">
        <f t="shared" si="7"/>
        <v>0</v>
      </c>
      <c r="G149" s="696">
        <f>VLOOKUP(L149,'Function-Grant'!$C:$AM,11,'Function-Grant'!$C:$AM)</f>
        <v>0</v>
      </c>
      <c r="H149" s="271" t="s">
        <v>311</v>
      </c>
      <c r="J149" s="276" t="s">
        <v>266</v>
      </c>
      <c r="K149" s="697" t="str">
        <f t="shared" si="13"/>
        <v>2320</v>
      </c>
      <c r="L149" s="698">
        <v>6340</v>
      </c>
      <c r="M149" s="697" t="str">
        <f t="shared" si="14"/>
        <v>000</v>
      </c>
      <c r="N149" s="276" t="s">
        <v>814</v>
      </c>
    </row>
    <row r="150" spans="1:14" x14ac:dyDescent="0.2">
      <c r="A150" s="270" t="s">
        <v>249</v>
      </c>
      <c r="B150" s="270" t="s">
        <v>310</v>
      </c>
      <c r="C150" s="270" t="s">
        <v>311</v>
      </c>
      <c r="D150" s="696" t="str">
        <f t="shared" si="8"/>
        <v>100-100-2320-6345-000-32-05</v>
      </c>
      <c r="E150" s="270" t="s">
        <v>312</v>
      </c>
      <c r="F150" s="696">
        <f t="shared" si="7"/>
        <v>0</v>
      </c>
      <c r="G150" s="696">
        <f>VLOOKUP(L150,'Function-Grant'!$C:$AM,11,'Function-Grant'!$C:$AM)</f>
        <v>0</v>
      </c>
      <c r="H150" s="271" t="s">
        <v>311</v>
      </c>
      <c r="J150" s="276" t="s">
        <v>266</v>
      </c>
      <c r="K150" s="697" t="str">
        <f t="shared" si="13"/>
        <v>2320</v>
      </c>
      <c r="L150" s="698">
        <v>6345</v>
      </c>
      <c r="M150" s="697" t="str">
        <f t="shared" si="14"/>
        <v>000</v>
      </c>
      <c r="N150" s="276" t="s">
        <v>814</v>
      </c>
    </row>
    <row r="151" spans="1:14" x14ac:dyDescent="0.2">
      <c r="A151" s="270" t="s">
        <v>249</v>
      </c>
      <c r="B151" s="270" t="s">
        <v>310</v>
      </c>
      <c r="C151" s="270" t="s">
        <v>311</v>
      </c>
      <c r="D151" s="696" t="str">
        <f t="shared" si="8"/>
        <v>100-100-2320-6350-000-32-05</v>
      </c>
      <c r="E151" s="270" t="s">
        <v>312</v>
      </c>
      <c r="F151" s="696">
        <f t="shared" si="7"/>
        <v>0</v>
      </c>
      <c r="G151" s="696">
        <f>VLOOKUP(L151,'Function-Grant'!$C:$AM,11,'Function-Grant'!$C:$AM)</f>
        <v>0</v>
      </c>
      <c r="H151" s="271" t="s">
        <v>311</v>
      </c>
      <c r="J151" s="276" t="s">
        <v>266</v>
      </c>
      <c r="K151" s="697" t="str">
        <f t="shared" si="13"/>
        <v>2320</v>
      </c>
      <c r="L151" s="698">
        <v>6350</v>
      </c>
      <c r="M151" s="697" t="str">
        <f t="shared" si="14"/>
        <v>000</v>
      </c>
      <c r="N151" s="276" t="s">
        <v>814</v>
      </c>
    </row>
    <row r="152" spans="1:14" x14ac:dyDescent="0.2">
      <c r="A152" s="270" t="s">
        <v>249</v>
      </c>
      <c r="B152" s="270" t="s">
        <v>310</v>
      </c>
      <c r="C152" s="270" t="s">
        <v>311</v>
      </c>
      <c r="D152" s="696" t="str">
        <f t="shared" si="8"/>
        <v>100-100-2320-6351-000-32-05</v>
      </c>
      <c r="E152" s="270" t="s">
        <v>312</v>
      </c>
      <c r="F152" s="696">
        <f t="shared" si="7"/>
        <v>0</v>
      </c>
      <c r="G152" s="696">
        <f>VLOOKUP(L152,'Function-Grant'!$C:$AM,11,'Function-Grant'!$C:$AM)</f>
        <v>0</v>
      </c>
      <c r="H152" s="271" t="s">
        <v>311</v>
      </c>
      <c r="J152" s="276" t="s">
        <v>266</v>
      </c>
      <c r="K152" s="697" t="str">
        <f t="shared" si="13"/>
        <v>2320</v>
      </c>
      <c r="L152" s="698">
        <v>6351</v>
      </c>
      <c r="M152" s="697" t="str">
        <f t="shared" si="14"/>
        <v>000</v>
      </c>
      <c r="N152" s="276" t="s">
        <v>814</v>
      </c>
    </row>
    <row r="153" spans="1:14" x14ac:dyDescent="0.2">
      <c r="A153" s="270" t="s">
        <v>249</v>
      </c>
      <c r="B153" s="270" t="s">
        <v>310</v>
      </c>
      <c r="C153" s="270" t="s">
        <v>311</v>
      </c>
      <c r="D153" s="696" t="str">
        <f t="shared" si="8"/>
        <v>100-100-2320-6410-000-32-05</v>
      </c>
      <c r="E153" s="270" t="s">
        <v>312</v>
      </c>
      <c r="F153" s="696">
        <f t="shared" si="7"/>
        <v>0</v>
      </c>
      <c r="G153" s="696">
        <f>VLOOKUP(L153,'Function-Grant'!$C:$AM,11,'Function-Grant'!$C:$AM)</f>
        <v>0</v>
      </c>
      <c r="H153" s="271" t="s">
        <v>311</v>
      </c>
      <c r="J153" s="276" t="s">
        <v>266</v>
      </c>
      <c r="K153" s="697" t="str">
        <f t="shared" si="13"/>
        <v>2320</v>
      </c>
      <c r="L153" s="698">
        <v>6410</v>
      </c>
      <c r="M153" s="697" t="str">
        <f t="shared" si="14"/>
        <v>000</v>
      </c>
      <c r="N153" s="276" t="s">
        <v>814</v>
      </c>
    </row>
    <row r="154" spans="1:14" x14ac:dyDescent="0.2">
      <c r="A154" s="270" t="s">
        <v>249</v>
      </c>
      <c r="B154" s="270" t="s">
        <v>310</v>
      </c>
      <c r="C154" s="270" t="s">
        <v>311</v>
      </c>
      <c r="D154" s="696" t="str">
        <f t="shared" si="8"/>
        <v>100-100-2320-6420-000-32-05</v>
      </c>
      <c r="E154" s="270" t="s">
        <v>312</v>
      </c>
      <c r="F154" s="696">
        <f t="shared" si="7"/>
        <v>0</v>
      </c>
      <c r="G154" s="696">
        <f>VLOOKUP(L154,'Function-Grant'!$C:$AM,11,'Function-Grant'!$C:$AM)</f>
        <v>0</v>
      </c>
      <c r="H154" s="271" t="s">
        <v>311</v>
      </c>
      <c r="J154" s="276" t="s">
        <v>266</v>
      </c>
      <c r="K154" s="697" t="str">
        <f t="shared" si="13"/>
        <v>2320</v>
      </c>
      <c r="L154" s="698">
        <v>6420</v>
      </c>
      <c r="M154" s="697" t="str">
        <f t="shared" si="14"/>
        <v>000</v>
      </c>
      <c r="N154" s="276" t="s">
        <v>814</v>
      </c>
    </row>
    <row r="155" spans="1:14" x14ac:dyDescent="0.2">
      <c r="A155" s="270" t="s">
        <v>249</v>
      </c>
      <c r="B155" s="270" t="s">
        <v>310</v>
      </c>
      <c r="C155" s="270" t="s">
        <v>311</v>
      </c>
      <c r="D155" s="696" t="str">
        <f t="shared" si="8"/>
        <v>100-100-2320-6430-000-32-05</v>
      </c>
      <c r="E155" s="270" t="s">
        <v>312</v>
      </c>
      <c r="F155" s="696">
        <f t="shared" si="7"/>
        <v>0</v>
      </c>
      <c r="G155" s="696">
        <f>VLOOKUP(L155,'Function-Grant'!$C:$AM,11,'Function-Grant'!$C:$AM)</f>
        <v>0</v>
      </c>
      <c r="H155" s="271" t="s">
        <v>311</v>
      </c>
      <c r="J155" s="276" t="s">
        <v>266</v>
      </c>
      <c r="K155" s="697" t="str">
        <f t="shared" si="13"/>
        <v>2320</v>
      </c>
      <c r="L155" s="698">
        <v>6430</v>
      </c>
      <c r="M155" s="697" t="str">
        <f t="shared" si="14"/>
        <v>000</v>
      </c>
      <c r="N155" s="276" t="s">
        <v>814</v>
      </c>
    </row>
    <row r="156" spans="1:14" x14ac:dyDescent="0.2">
      <c r="A156" s="270" t="s">
        <v>249</v>
      </c>
      <c r="B156" s="270" t="s">
        <v>310</v>
      </c>
      <c r="C156" s="270" t="s">
        <v>311</v>
      </c>
      <c r="D156" s="696" t="str">
        <f t="shared" si="8"/>
        <v>100-100-2320-6441-000-32-05</v>
      </c>
      <c r="E156" s="270" t="s">
        <v>312</v>
      </c>
      <c r="F156" s="696">
        <f t="shared" si="7"/>
        <v>0</v>
      </c>
      <c r="G156" s="696">
        <f>VLOOKUP(L156,'Function-Grant'!$C:$AM,11,'Function-Grant'!$C:$AM)</f>
        <v>0</v>
      </c>
      <c r="H156" s="271" t="s">
        <v>311</v>
      </c>
      <c r="J156" s="276" t="s">
        <v>266</v>
      </c>
      <c r="K156" s="697" t="str">
        <f t="shared" si="13"/>
        <v>2320</v>
      </c>
      <c r="L156" s="698">
        <v>6441</v>
      </c>
      <c r="M156" s="697" t="str">
        <f t="shared" si="14"/>
        <v>000</v>
      </c>
      <c r="N156" s="276" t="s">
        <v>814</v>
      </c>
    </row>
    <row r="157" spans="1:14" x14ac:dyDescent="0.2">
      <c r="A157" s="270" t="s">
        <v>249</v>
      </c>
      <c r="B157" s="270" t="s">
        <v>310</v>
      </c>
      <c r="C157" s="270" t="s">
        <v>311</v>
      </c>
      <c r="D157" s="696" t="str">
        <f t="shared" si="8"/>
        <v>100-100-2320-6519-000-32-05</v>
      </c>
      <c r="E157" s="270" t="s">
        <v>312</v>
      </c>
      <c r="F157" s="696">
        <f t="shared" si="7"/>
        <v>0</v>
      </c>
      <c r="G157" s="696">
        <f>VLOOKUP(L157,'Function-Grant'!$C:$AM,11,'Function-Grant'!$C:$AM)</f>
        <v>0</v>
      </c>
      <c r="H157" s="271" t="s">
        <v>311</v>
      </c>
      <c r="J157" s="276" t="s">
        <v>266</v>
      </c>
      <c r="K157" s="697" t="str">
        <f t="shared" si="13"/>
        <v>2320</v>
      </c>
      <c r="L157" s="698">
        <v>6519</v>
      </c>
      <c r="M157" s="697" t="str">
        <f t="shared" si="14"/>
        <v>000</v>
      </c>
      <c r="N157" s="276" t="s">
        <v>814</v>
      </c>
    </row>
    <row r="158" spans="1:14" x14ac:dyDescent="0.2">
      <c r="A158" s="270" t="s">
        <v>249</v>
      </c>
      <c r="B158" s="270" t="s">
        <v>310</v>
      </c>
      <c r="C158" s="270" t="s">
        <v>311</v>
      </c>
      <c r="D158" s="696" t="str">
        <f t="shared" si="8"/>
        <v>100-100-2320-6521-000-32-05</v>
      </c>
      <c r="E158" s="270" t="s">
        <v>312</v>
      </c>
      <c r="F158" s="696">
        <f t="shared" si="7"/>
        <v>0</v>
      </c>
      <c r="G158" s="696">
        <f>VLOOKUP(L158,'Function-Grant'!$C:$AM,11,'Function-Grant'!$C:$AM)</f>
        <v>0</v>
      </c>
      <c r="H158" s="271" t="s">
        <v>311</v>
      </c>
      <c r="J158" s="276" t="s">
        <v>266</v>
      </c>
      <c r="K158" s="697" t="str">
        <f t="shared" si="13"/>
        <v>2320</v>
      </c>
      <c r="L158" s="698">
        <v>6521</v>
      </c>
      <c r="M158" s="697" t="str">
        <f t="shared" si="14"/>
        <v>000</v>
      </c>
      <c r="N158" s="276" t="s">
        <v>814</v>
      </c>
    </row>
    <row r="159" spans="1:14" x14ac:dyDescent="0.2">
      <c r="A159" s="270" t="s">
        <v>249</v>
      </c>
      <c r="B159" s="270" t="s">
        <v>310</v>
      </c>
      <c r="C159" s="270" t="s">
        <v>311</v>
      </c>
      <c r="D159" s="696" t="str">
        <f t="shared" si="8"/>
        <v>100-100-2320-6522-000-32-05</v>
      </c>
      <c r="E159" s="270" t="s">
        <v>312</v>
      </c>
      <c r="F159" s="696">
        <f t="shared" si="7"/>
        <v>0</v>
      </c>
      <c r="G159" s="696">
        <f>VLOOKUP(L159,'Function-Grant'!$C:$AM,11,'Function-Grant'!$C:$AM)</f>
        <v>0</v>
      </c>
      <c r="H159" s="271" t="s">
        <v>311</v>
      </c>
      <c r="J159" s="276" t="s">
        <v>266</v>
      </c>
      <c r="K159" s="697" t="str">
        <f t="shared" si="13"/>
        <v>2320</v>
      </c>
      <c r="L159" s="698">
        <v>6522</v>
      </c>
      <c r="M159" s="697" t="str">
        <f t="shared" si="14"/>
        <v>000</v>
      </c>
      <c r="N159" s="276" t="s">
        <v>814</v>
      </c>
    </row>
    <row r="160" spans="1:14" x14ac:dyDescent="0.2">
      <c r="A160" s="270" t="s">
        <v>249</v>
      </c>
      <c r="B160" s="270" t="s">
        <v>310</v>
      </c>
      <c r="C160" s="270" t="s">
        <v>311</v>
      </c>
      <c r="D160" s="696" t="str">
        <f t="shared" si="8"/>
        <v>100-100-2320-6523-000-32-05</v>
      </c>
      <c r="E160" s="270" t="s">
        <v>312</v>
      </c>
      <c r="F160" s="696">
        <f t="shared" si="7"/>
        <v>0</v>
      </c>
      <c r="G160" s="696">
        <f>VLOOKUP(L160,'Function-Grant'!$C:$AM,11,'Function-Grant'!$C:$AM)</f>
        <v>0</v>
      </c>
      <c r="H160" s="271" t="s">
        <v>311</v>
      </c>
      <c r="J160" s="276" t="s">
        <v>266</v>
      </c>
      <c r="K160" s="697" t="str">
        <f t="shared" si="13"/>
        <v>2320</v>
      </c>
      <c r="L160" s="698">
        <v>6523</v>
      </c>
      <c r="M160" s="697" t="str">
        <f t="shared" si="14"/>
        <v>000</v>
      </c>
      <c r="N160" s="276" t="s">
        <v>814</v>
      </c>
    </row>
    <row r="161" spans="1:14" x14ac:dyDescent="0.2">
      <c r="A161" s="270" t="s">
        <v>249</v>
      </c>
      <c r="B161" s="270" t="s">
        <v>310</v>
      </c>
      <c r="C161" s="270" t="s">
        <v>311</v>
      </c>
      <c r="D161" s="696" t="str">
        <f t="shared" si="8"/>
        <v>100-100-2320-6531-000-32-05</v>
      </c>
      <c r="E161" s="270" t="s">
        <v>312</v>
      </c>
      <c r="F161" s="696">
        <f t="shared" si="7"/>
        <v>0</v>
      </c>
      <c r="G161" s="696">
        <f>VLOOKUP(L161,'Function-Grant'!$C:$AM,11,'Function-Grant'!$C:$AM)</f>
        <v>0</v>
      </c>
      <c r="H161" s="271" t="s">
        <v>311</v>
      </c>
      <c r="J161" s="276" t="s">
        <v>266</v>
      </c>
      <c r="K161" s="697" t="str">
        <f t="shared" si="13"/>
        <v>2320</v>
      </c>
      <c r="L161" s="698">
        <v>6531</v>
      </c>
      <c r="M161" s="697" t="str">
        <f t="shared" si="14"/>
        <v>000</v>
      </c>
      <c r="N161" s="276" t="s">
        <v>814</v>
      </c>
    </row>
    <row r="162" spans="1:14" x14ac:dyDescent="0.2">
      <c r="A162" s="270" t="s">
        <v>249</v>
      </c>
      <c r="B162" s="270" t="s">
        <v>310</v>
      </c>
      <c r="C162" s="270" t="s">
        <v>311</v>
      </c>
      <c r="D162" s="696" t="str">
        <f t="shared" si="8"/>
        <v>100-100-2320-6534-000-32-05</v>
      </c>
      <c r="E162" s="270" t="s">
        <v>312</v>
      </c>
      <c r="F162" s="696">
        <f t="shared" si="7"/>
        <v>3240</v>
      </c>
      <c r="G162" s="696">
        <f>VLOOKUP(L162,'Function-Grant'!$C:$AM,11,'Function-Grant'!$C:$AM)</f>
        <v>3240</v>
      </c>
      <c r="H162" s="271" t="s">
        <v>311</v>
      </c>
      <c r="J162" s="276" t="s">
        <v>266</v>
      </c>
      <c r="K162" s="697" t="str">
        <f t="shared" si="13"/>
        <v>2320</v>
      </c>
      <c r="L162" s="698">
        <v>6534</v>
      </c>
      <c r="M162" s="697" t="str">
        <f t="shared" si="14"/>
        <v>000</v>
      </c>
      <c r="N162" s="276" t="s">
        <v>814</v>
      </c>
    </row>
    <row r="163" spans="1:14" x14ac:dyDescent="0.2">
      <c r="A163" s="270" t="s">
        <v>249</v>
      </c>
      <c r="B163" s="270" t="s">
        <v>310</v>
      </c>
      <c r="C163" s="270" t="s">
        <v>311</v>
      </c>
      <c r="D163" s="696" t="str">
        <f t="shared" si="8"/>
        <v>100-100-2320-6535-000-32-05</v>
      </c>
      <c r="E163" s="270" t="s">
        <v>312</v>
      </c>
      <c r="F163" s="696">
        <f t="shared" si="7"/>
        <v>0</v>
      </c>
      <c r="G163" s="696">
        <f>VLOOKUP(L163,'Function-Grant'!$C:$AM,11,'Function-Grant'!$C:$AM)</f>
        <v>0</v>
      </c>
      <c r="H163" s="271" t="s">
        <v>311</v>
      </c>
      <c r="J163" s="276" t="s">
        <v>266</v>
      </c>
      <c r="K163" s="697" t="str">
        <f t="shared" si="13"/>
        <v>2320</v>
      </c>
      <c r="L163" s="698">
        <v>6535</v>
      </c>
      <c r="M163" s="697" t="str">
        <f t="shared" si="14"/>
        <v>000</v>
      </c>
      <c r="N163" s="276" t="s">
        <v>814</v>
      </c>
    </row>
    <row r="164" spans="1:14" x14ac:dyDescent="0.2">
      <c r="A164" s="270" t="s">
        <v>249</v>
      </c>
      <c r="B164" s="270" t="s">
        <v>310</v>
      </c>
      <c r="C164" s="270" t="s">
        <v>311</v>
      </c>
      <c r="D164" s="696" t="str">
        <f t="shared" si="8"/>
        <v>100-100-2320-6540-000-32-05</v>
      </c>
      <c r="E164" s="270" t="s">
        <v>312</v>
      </c>
      <c r="F164" s="696">
        <f t="shared" si="7"/>
        <v>0</v>
      </c>
      <c r="G164" s="696">
        <f>VLOOKUP(L164,'Function-Grant'!$C:$AM,11,'Function-Grant'!$C:$AM)</f>
        <v>0</v>
      </c>
      <c r="H164" s="271" t="s">
        <v>311</v>
      </c>
      <c r="J164" s="276" t="s">
        <v>266</v>
      </c>
      <c r="K164" s="697" t="str">
        <f t="shared" si="13"/>
        <v>2320</v>
      </c>
      <c r="L164" s="698">
        <v>6540</v>
      </c>
      <c r="M164" s="697" t="str">
        <f t="shared" si="14"/>
        <v>000</v>
      </c>
      <c r="N164" s="276" t="s">
        <v>814</v>
      </c>
    </row>
    <row r="165" spans="1:14" x14ac:dyDescent="0.2">
      <c r="A165" s="270" t="s">
        <v>249</v>
      </c>
      <c r="B165" s="270" t="s">
        <v>310</v>
      </c>
      <c r="C165" s="270" t="s">
        <v>311</v>
      </c>
      <c r="D165" s="696" t="str">
        <f t="shared" si="8"/>
        <v>100-100-2320-6550-000-32-05</v>
      </c>
      <c r="E165" s="270" t="s">
        <v>312</v>
      </c>
      <c r="F165" s="696">
        <f t="shared" si="7"/>
        <v>621.72</v>
      </c>
      <c r="G165" s="696">
        <f>VLOOKUP(L165,'Function-Grant'!$C:$AM,11,'Function-Grant'!$C:$AM)</f>
        <v>621.72</v>
      </c>
      <c r="H165" s="271" t="s">
        <v>311</v>
      </c>
      <c r="J165" s="276" t="s">
        <v>266</v>
      </c>
      <c r="K165" s="697" t="str">
        <f t="shared" si="13"/>
        <v>2320</v>
      </c>
      <c r="L165" s="698">
        <v>6550</v>
      </c>
      <c r="M165" s="697" t="str">
        <f t="shared" si="14"/>
        <v>000</v>
      </c>
      <c r="N165" s="276" t="s">
        <v>814</v>
      </c>
    </row>
    <row r="166" spans="1:14" x14ac:dyDescent="0.2">
      <c r="A166" s="270" t="s">
        <v>249</v>
      </c>
      <c r="B166" s="270" t="s">
        <v>310</v>
      </c>
      <c r="C166" s="270" t="s">
        <v>311</v>
      </c>
      <c r="D166" s="696" t="str">
        <f t="shared" si="8"/>
        <v>100-100-2320-6568-000-32-05</v>
      </c>
      <c r="E166" s="270" t="s">
        <v>312</v>
      </c>
      <c r="F166" s="696">
        <f t="shared" si="7"/>
        <v>0</v>
      </c>
      <c r="G166" s="696">
        <f>VLOOKUP(L166,'Function-Grant'!$C:$AM,11,'Function-Grant'!$C:$AM)</f>
        <v>0</v>
      </c>
      <c r="H166" s="271" t="s">
        <v>311</v>
      </c>
      <c r="J166" s="276" t="s">
        <v>266</v>
      </c>
      <c r="K166" s="697" t="str">
        <f t="shared" si="13"/>
        <v>2320</v>
      </c>
      <c r="L166" s="698">
        <v>6568</v>
      </c>
      <c r="M166" s="697" t="str">
        <f t="shared" si="14"/>
        <v>000</v>
      </c>
      <c r="N166" s="276" t="s">
        <v>814</v>
      </c>
    </row>
    <row r="167" spans="1:14" x14ac:dyDescent="0.2">
      <c r="A167" s="270" t="s">
        <v>249</v>
      </c>
      <c r="B167" s="270" t="s">
        <v>310</v>
      </c>
      <c r="C167" s="270" t="s">
        <v>311</v>
      </c>
      <c r="D167" s="696" t="str">
        <f t="shared" si="8"/>
        <v>100-100-2320-6569-000-32-05</v>
      </c>
      <c r="E167" s="270" t="s">
        <v>312</v>
      </c>
      <c r="F167" s="696">
        <f t="shared" si="7"/>
        <v>0</v>
      </c>
      <c r="G167" s="696">
        <f>VLOOKUP(L167,'Function-Grant'!$C:$AM,11,'Function-Grant'!$C:$AM)</f>
        <v>0</v>
      </c>
      <c r="H167" s="271" t="s">
        <v>311</v>
      </c>
      <c r="J167" s="276" t="s">
        <v>266</v>
      </c>
      <c r="K167" s="697" t="str">
        <f t="shared" si="13"/>
        <v>2320</v>
      </c>
      <c r="L167" s="698">
        <v>6569</v>
      </c>
      <c r="M167" s="697" t="str">
        <f t="shared" si="14"/>
        <v>000</v>
      </c>
      <c r="N167" s="276" t="s">
        <v>814</v>
      </c>
    </row>
    <row r="168" spans="1:14" x14ac:dyDescent="0.2">
      <c r="A168" s="270" t="s">
        <v>249</v>
      </c>
      <c r="B168" s="270" t="s">
        <v>310</v>
      </c>
      <c r="C168" s="270" t="s">
        <v>311</v>
      </c>
      <c r="D168" s="696" t="str">
        <f t="shared" si="8"/>
        <v>100-100-2320-6580-000-32-05</v>
      </c>
      <c r="E168" s="270" t="s">
        <v>312</v>
      </c>
      <c r="F168" s="696">
        <f t="shared" si="7"/>
        <v>4000</v>
      </c>
      <c r="G168" s="696">
        <f>VLOOKUP(L168,'Function-Grant'!$C:$AM,11,'Function-Grant'!$C:$AM)</f>
        <v>4000</v>
      </c>
      <c r="H168" s="271" t="s">
        <v>311</v>
      </c>
      <c r="J168" s="276" t="s">
        <v>266</v>
      </c>
      <c r="K168" s="697" t="str">
        <f t="shared" si="13"/>
        <v>2320</v>
      </c>
      <c r="L168" s="698">
        <v>6580</v>
      </c>
      <c r="M168" s="697" t="str">
        <f t="shared" si="14"/>
        <v>000</v>
      </c>
      <c r="N168" s="276" t="s">
        <v>814</v>
      </c>
    </row>
    <row r="169" spans="1:14" x14ac:dyDescent="0.2">
      <c r="A169" s="270" t="s">
        <v>249</v>
      </c>
      <c r="B169" s="270" t="s">
        <v>310</v>
      </c>
      <c r="C169" s="270" t="s">
        <v>311</v>
      </c>
      <c r="D169" s="696" t="str">
        <f t="shared" si="8"/>
        <v>100-100-2320-6610-000-32-05</v>
      </c>
      <c r="E169" s="270" t="s">
        <v>312</v>
      </c>
      <c r="F169" s="696">
        <f t="shared" si="7"/>
        <v>3400</v>
      </c>
      <c r="G169" s="696">
        <f>VLOOKUP(L169,'Function-Grant'!$C:$AM,11,'Function-Grant'!$C:$AM)</f>
        <v>3400</v>
      </c>
      <c r="H169" s="271" t="s">
        <v>311</v>
      </c>
      <c r="J169" s="276" t="s">
        <v>266</v>
      </c>
      <c r="K169" s="697" t="str">
        <f t="shared" si="13"/>
        <v>2320</v>
      </c>
      <c r="L169" s="698">
        <v>6610</v>
      </c>
      <c r="M169" s="697" t="str">
        <f t="shared" si="14"/>
        <v>000</v>
      </c>
      <c r="N169" s="276" t="s">
        <v>814</v>
      </c>
    </row>
    <row r="170" spans="1:14" x14ac:dyDescent="0.2">
      <c r="A170" s="270" t="s">
        <v>249</v>
      </c>
      <c r="B170" s="270" t="s">
        <v>310</v>
      </c>
      <c r="C170" s="270" t="s">
        <v>311</v>
      </c>
      <c r="D170" s="696" t="str">
        <f t="shared" si="8"/>
        <v>100-100-2320-6612-000-32-05</v>
      </c>
      <c r="E170" s="270" t="s">
        <v>312</v>
      </c>
      <c r="F170" s="696">
        <f t="shared" si="7"/>
        <v>0</v>
      </c>
      <c r="G170" s="696">
        <f>VLOOKUP(L170,'Function-Grant'!$C:$AM,11,'Function-Grant'!$C:$AM)</f>
        <v>0</v>
      </c>
      <c r="H170" s="271" t="s">
        <v>311</v>
      </c>
      <c r="J170" s="276" t="s">
        <v>266</v>
      </c>
      <c r="K170" s="697" t="str">
        <f t="shared" si="13"/>
        <v>2320</v>
      </c>
      <c r="L170" s="698">
        <v>6612</v>
      </c>
      <c r="M170" s="697" t="str">
        <f t="shared" si="14"/>
        <v>000</v>
      </c>
      <c r="N170" s="276" t="s">
        <v>814</v>
      </c>
    </row>
    <row r="171" spans="1:14" x14ac:dyDescent="0.2">
      <c r="A171" s="270" t="s">
        <v>249</v>
      </c>
      <c r="B171" s="270" t="s">
        <v>310</v>
      </c>
      <c r="C171" s="270" t="s">
        <v>311</v>
      </c>
      <c r="D171" s="696" t="str">
        <f t="shared" si="8"/>
        <v>100-100-2320-6622-000-32-05</v>
      </c>
      <c r="E171" s="270" t="s">
        <v>312</v>
      </c>
      <c r="F171" s="696">
        <f t="shared" si="7"/>
        <v>0</v>
      </c>
      <c r="G171" s="696">
        <f>VLOOKUP(L171,'Function-Grant'!$C:$AM,11,'Function-Grant'!$C:$AM)</f>
        <v>0</v>
      </c>
      <c r="H171" s="271" t="s">
        <v>311</v>
      </c>
      <c r="J171" s="276" t="s">
        <v>266</v>
      </c>
      <c r="K171" s="697" t="str">
        <f t="shared" si="13"/>
        <v>2320</v>
      </c>
      <c r="L171" s="698">
        <v>6622</v>
      </c>
      <c r="M171" s="697" t="str">
        <f t="shared" si="14"/>
        <v>000</v>
      </c>
      <c r="N171" s="276" t="s">
        <v>814</v>
      </c>
    </row>
    <row r="172" spans="1:14" x14ac:dyDescent="0.2">
      <c r="A172" s="270" t="s">
        <v>249</v>
      </c>
      <c r="B172" s="270" t="s">
        <v>310</v>
      </c>
      <c r="C172" s="270" t="s">
        <v>311</v>
      </c>
      <c r="D172" s="696" t="str">
        <f t="shared" si="8"/>
        <v>100-100-2320-6641-000-32-05</v>
      </c>
      <c r="E172" s="270" t="s">
        <v>312</v>
      </c>
      <c r="F172" s="696">
        <f t="shared" si="7"/>
        <v>0</v>
      </c>
      <c r="G172" s="696">
        <f>VLOOKUP(L172,'Function-Grant'!$C:$AM,11,'Function-Grant'!$C:$AM)</f>
        <v>0</v>
      </c>
      <c r="H172" s="271" t="s">
        <v>311</v>
      </c>
      <c r="J172" s="276" t="s">
        <v>266</v>
      </c>
      <c r="K172" s="697" t="str">
        <f t="shared" si="13"/>
        <v>2320</v>
      </c>
      <c r="L172" s="698">
        <v>6641</v>
      </c>
      <c r="M172" s="697" t="str">
        <f t="shared" si="14"/>
        <v>000</v>
      </c>
      <c r="N172" s="276" t="s">
        <v>814</v>
      </c>
    </row>
    <row r="173" spans="1:14" x14ac:dyDescent="0.2">
      <c r="A173" s="270" t="s">
        <v>249</v>
      </c>
      <c r="B173" s="270" t="s">
        <v>310</v>
      </c>
      <c r="C173" s="270" t="s">
        <v>311</v>
      </c>
      <c r="D173" s="696" t="str">
        <f t="shared" si="8"/>
        <v>100-100-2320-6642-000-32-05</v>
      </c>
      <c r="E173" s="270" t="s">
        <v>312</v>
      </c>
      <c r="F173" s="696">
        <f t="shared" si="7"/>
        <v>0</v>
      </c>
      <c r="G173" s="696">
        <f>VLOOKUP(L173,'Function-Grant'!$C:$AM,11,'Function-Grant'!$C:$AM)</f>
        <v>0</v>
      </c>
      <c r="H173" s="271" t="s">
        <v>311</v>
      </c>
      <c r="J173" s="276" t="s">
        <v>266</v>
      </c>
      <c r="K173" s="697" t="str">
        <f t="shared" si="13"/>
        <v>2320</v>
      </c>
      <c r="L173" s="698">
        <v>6642</v>
      </c>
      <c r="M173" s="697" t="str">
        <f t="shared" si="14"/>
        <v>000</v>
      </c>
      <c r="N173" s="276" t="s">
        <v>814</v>
      </c>
    </row>
    <row r="174" spans="1:14" x14ac:dyDescent="0.2">
      <c r="A174" s="270" t="s">
        <v>249</v>
      </c>
      <c r="B174" s="270" t="s">
        <v>310</v>
      </c>
      <c r="C174" s="270" t="s">
        <v>311</v>
      </c>
      <c r="D174" s="696" t="str">
        <f t="shared" si="8"/>
        <v>100-100-2320-6651-000-32-05</v>
      </c>
      <c r="E174" s="270" t="s">
        <v>312</v>
      </c>
      <c r="F174" s="696">
        <f t="shared" si="7"/>
        <v>0</v>
      </c>
      <c r="G174" s="696">
        <f>VLOOKUP(L174,'Function-Grant'!$C:$AM,11,'Function-Grant'!$C:$AM)</f>
        <v>0</v>
      </c>
      <c r="H174" s="271" t="s">
        <v>311</v>
      </c>
      <c r="J174" s="276" t="s">
        <v>266</v>
      </c>
      <c r="K174" s="697" t="str">
        <f t="shared" si="13"/>
        <v>2320</v>
      </c>
      <c r="L174" s="698">
        <v>6651</v>
      </c>
      <c r="M174" s="697" t="str">
        <f t="shared" si="14"/>
        <v>000</v>
      </c>
      <c r="N174" s="276" t="s">
        <v>814</v>
      </c>
    </row>
    <row r="175" spans="1:14" x14ac:dyDescent="0.2">
      <c r="A175" s="270" t="s">
        <v>249</v>
      </c>
      <c r="B175" s="270" t="s">
        <v>310</v>
      </c>
      <c r="C175" s="270" t="s">
        <v>311</v>
      </c>
      <c r="D175" s="696" t="str">
        <f t="shared" si="8"/>
        <v>100-100-2320-6734-000-32-05</v>
      </c>
      <c r="E175" s="270" t="s">
        <v>312</v>
      </c>
      <c r="F175" s="696">
        <f t="shared" si="7"/>
        <v>0</v>
      </c>
      <c r="G175" s="696">
        <f>VLOOKUP(L175,'Function-Grant'!$C:$AM,11,'Function-Grant'!$C:$AM)</f>
        <v>0</v>
      </c>
      <c r="H175" s="271" t="s">
        <v>311</v>
      </c>
      <c r="J175" s="276" t="s">
        <v>266</v>
      </c>
      <c r="K175" s="697" t="str">
        <f t="shared" si="13"/>
        <v>2320</v>
      </c>
      <c r="L175" s="698">
        <v>6734</v>
      </c>
      <c r="M175" s="697" t="str">
        <f t="shared" si="14"/>
        <v>000</v>
      </c>
      <c r="N175" s="276" t="s">
        <v>814</v>
      </c>
    </row>
    <row r="176" spans="1:14" x14ac:dyDescent="0.2">
      <c r="A176" s="270" t="s">
        <v>249</v>
      </c>
      <c r="B176" s="270" t="s">
        <v>310</v>
      </c>
      <c r="C176" s="270" t="s">
        <v>311</v>
      </c>
      <c r="D176" s="696" t="str">
        <f t="shared" si="8"/>
        <v>100-100-2320-6810-000-32-05</v>
      </c>
      <c r="E176" s="270" t="s">
        <v>312</v>
      </c>
      <c r="F176" s="696">
        <f t="shared" si="7"/>
        <v>0</v>
      </c>
      <c r="G176" s="696">
        <f>VLOOKUP(L176,'Function-Grant'!$C:$AM,11,'Function-Grant'!$C:$AM)</f>
        <v>0</v>
      </c>
      <c r="H176" s="271" t="s">
        <v>311</v>
      </c>
      <c r="J176" s="276" t="s">
        <v>266</v>
      </c>
      <c r="K176" s="697" t="str">
        <f t="shared" si="13"/>
        <v>2320</v>
      </c>
      <c r="L176" s="698">
        <v>6810</v>
      </c>
      <c r="M176" s="697" t="str">
        <f t="shared" si="14"/>
        <v>000</v>
      </c>
      <c r="N176" s="276" t="s">
        <v>814</v>
      </c>
    </row>
    <row r="177" spans="1:14" x14ac:dyDescent="0.2">
      <c r="A177" s="270" t="s">
        <v>249</v>
      </c>
      <c r="B177" s="270" t="s">
        <v>310</v>
      </c>
      <c r="C177" s="270" t="s">
        <v>311</v>
      </c>
      <c r="D177" s="696" t="str">
        <f t="shared" si="8"/>
        <v>100-100-2320-6810-709-32-05</v>
      </c>
      <c r="E177" s="270" t="s">
        <v>312</v>
      </c>
      <c r="F177" s="696">
        <f t="shared" si="7"/>
        <v>0</v>
      </c>
      <c r="G177" s="696">
        <f>VLOOKUP(L177,'Function-Grant'!$C:$AQ,38,'Function-Grant'!$C:$AQ)</f>
        <v>0</v>
      </c>
      <c r="H177" s="271" t="s">
        <v>311</v>
      </c>
      <c r="J177" s="276" t="s">
        <v>289</v>
      </c>
      <c r="K177" s="697" t="str">
        <f t="shared" si="13"/>
        <v>2320</v>
      </c>
      <c r="L177" s="698">
        <v>6810</v>
      </c>
      <c r="M177" s="697" t="str">
        <f t="shared" si="14"/>
        <v>709</v>
      </c>
      <c r="N177" s="276" t="s">
        <v>814</v>
      </c>
    </row>
    <row r="178" spans="1:14" x14ac:dyDescent="0.2">
      <c r="A178" s="270" t="s">
        <v>249</v>
      </c>
      <c r="B178" s="270" t="s">
        <v>310</v>
      </c>
      <c r="C178" s="270" t="s">
        <v>311</v>
      </c>
      <c r="D178" s="696" t="str">
        <f t="shared" si="8"/>
        <v>100-100-2320-7306-000-32-05</v>
      </c>
      <c r="E178" s="270" t="s">
        <v>312</v>
      </c>
      <c r="F178" s="696">
        <f t="shared" si="7"/>
        <v>0</v>
      </c>
      <c r="G178" s="696">
        <f>VLOOKUP(L178,'Function-Grant'!$C:$AM,11,'Function-Grant'!$C:$AM)</f>
        <v>0</v>
      </c>
      <c r="H178" s="271" t="s">
        <v>311</v>
      </c>
      <c r="J178" s="276" t="s">
        <v>266</v>
      </c>
      <c r="K178" s="697" t="str">
        <f t="shared" si="13"/>
        <v>2320</v>
      </c>
      <c r="L178" s="698">
        <v>7306</v>
      </c>
      <c r="M178" s="697" t="str">
        <f t="shared" si="14"/>
        <v>000</v>
      </c>
      <c r="N178" s="276" t="s">
        <v>814</v>
      </c>
    </row>
    <row r="179" spans="1:14" x14ac:dyDescent="0.2">
      <c r="A179" s="270" t="s">
        <v>249</v>
      </c>
      <c r="B179" s="270" t="s">
        <v>310</v>
      </c>
      <c r="C179" s="270" t="s">
        <v>311</v>
      </c>
      <c r="D179" s="696" t="str">
        <f t="shared" si="8"/>
        <v>100-100-2410--000-32-05</v>
      </c>
      <c r="H179" s="271" t="s">
        <v>311</v>
      </c>
      <c r="J179" s="276" t="s">
        <v>267</v>
      </c>
      <c r="K179" s="697" t="str">
        <f t="shared" si="13"/>
        <v>2410</v>
      </c>
      <c r="M179" s="697" t="str">
        <f t="shared" si="14"/>
        <v>000</v>
      </c>
      <c r="N179" s="276" t="s">
        <v>814</v>
      </c>
    </row>
    <row r="180" spans="1:14" x14ac:dyDescent="0.2">
      <c r="A180" s="270" t="s">
        <v>249</v>
      </c>
      <c r="B180" s="270" t="s">
        <v>310</v>
      </c>
      <c r="C180" s="270" t="s">
        <v>311</v>
      </c>
      <c r="D180" s="696" t="str">
        <f t="shared" si="8"/>
        <v>100-100-2410-6111-000-32-05</v>
      </c>
      <c r="E180" s="270" t="s">
        <v>312</v>
      </c>
      <c r="F180" s="696">
        <f t="shared" si="7"/>
        <v>0</v>
      </c>
      <c r="G180" s="696">
        <f>VLOOKUP(L180,'Function-Grant'!$C:$AM,12,'Function-Grant'!$C:$AM)</f>
        <v>0</v>
      </c>
      <c r="H180" s="271" t="s">
        <v>311</v>
      </c>
      <c r="J180" s="276" t="s">
        <v>267</v>
      </c>
      <c r="K180" s="697" t="str">
        <f t="shared" si="13"/>
        <v>2410</v>
      </c>
      <c r="L180" s="698">
        <v>6111</v>
      </c>
      <c r="M180" s="697" t="str">
        <f t="shared" si="14"/>
        <v>000</v>
      </c>
      <c r="N180" s="276" t="s">
        <v>814</v>
      </c>
    </row>
    <row r="181" spans="1:14" x14ac:dyDescent="0.2">
      <c r="A181" s="270" t="s">
        <v>249</v>
      </c>
      <c r="B181" s="270" t="s">
        <v>310</v>
      </c>
      <c r="C181" s="270" t="s">
        <v>311</v>
      </c>
      <c r="D181" s="696" t="str">
        <f t="shared" si="8"/>
        <v>100-100-2410-6114-000-32-05</v>
      </c>
      <c r="E181" s="270" t="s">
        <v>312</v>
      </c>
      <c r="F181" s="696">
        <f t="shared" si="7"/>
        <v>224515.1999999999</v>
      </c>
      <c r="G181" s="696">
        <f>VLOOKUP(L181,'Function-Grant'!$C:$AM,12,'Function-Grant'!$C:$AM)</f>
        <v>224515.1999999999</v>
      </c>
      <c r="H181" s="271" t="s">
        <v>311</v>
      </c>
      <c r="J181" s="276" t="s">
        <v>267</v>
      </c>
      <c r="K181" s="697" t="str">
        <f t="shared" si="13"/>
        <v>2410</v>
      </c>
      <c r="L181" s="698">
        <v>6114</v>
      </c>
      <c r="M181" s="697" t="str">
        <f t="shared" si="14"/>
        <v>000</v>
      </c>
      <c r="N181" s="276" t="s">
        <v>814</v>
      </c>
    </row>
    <row r="182" spans="1:14" x14ac:dyDescent="0.2">
      <c r="A182" s="270" t="s">
        <v>249</v>
      </c>
      <c r="B182" s="270" t="s">
        <v>310</v>
      </c>
      <c r="C182" s="270" t="s">
        <v>311</v>
      </c>
      <c r="D182" s="696" t="str">
        <f t="shared" si="8"/>
        <v>100-100-2410-6117-000-32-05</v>
      </c>
      <c r="E182" s="270" t="s">
        <v>312</v>
      </c>
      <c r="F182" s="696">
        <f t="shared" si="7"/>
        <v>0</v>
      </c>
      <c r="G182" s="696">
        <f>VLOOKUP(L182,'Function-Grant'!$C:$AM,12,'Function-Grant'!$C:$AM)</f>
        <v>0</v>
      </c>
      <c r="H182" s="271" t="s">
        <v>311</v>
      </c>
      <c r="J182" s="276" t="s">
        <v>267</v>
      </c>
      <c r="K182" s="697" t="str">
        <f t="shared" si="13"/>
        <v>2410</v>
      </c>
      <c r="L182" s="698">
        <v>6117</v>
      </c>
      <c r="M182" s="697" t="str">
        <f t="shared" si="14"/>
        <v>000</v>
      </c>
      <c r="N182" s="276" t="s">
        <v>814</v>
      </c>
    </row>
    <row r="183" spans="1:14" x14ac:dyDescent="0.2">
      <c r="A183" s="270" t="s">
        <v>249</v>
      </c>
      <c r="B183" s="270" t="s">
        <v>310</v>
      </c>
      <c r="C183" s="270" t="s">
        <v>311</v>
      </c>
      <c r="D183" s="696" t="str">
        <f t="shared" si="8"/>
        <v>100-100-2410-6122-000-32-05</v>
      </c>
      <c r="E183" s="270" t="s">
        <v>312</v>
      </c>
      <c r="F183" s="696">
        <f t="shared" si="7"/>
        <v>0</v>
      </c>
      <c r="G183" s="696" t="e">
        <f>VLOOKUP(L183,'Function-Grant'!$C:$AM,12,'Function-Grant'!$C:$AM)</f>
        <v>#N/A</v>
      </c>
      <c r="H183" s="271" t="s">
        <v>311</v>
      </c>
      <c r="J183" s="276" t="s">
        <v>267</v>
      </c>
      <c r="K183" s="697" t="str">
        <f t="shared" si="13"/>
        <v>2410</v>
      </c>
      <c r="L183" s="698">
        <v>6122</v>
      </c>
      <c r="M183" s="697" t="str">
        <f t="shared" si="14"/>
        <v>000</v>
      </c>
      <c r="N183" s="276" t="s">
        <v>814</v>
      </c>
    </row>
    <row r="184" spans="1:14" x14ac:dyDescent="0.2">
      <c r="A184" s="270" t="s">
        <v>249</v>
      </c>
      <c r="B184" s="270" t="s">
        <v>310</v>
      </c>
      <c r="C184" s="270" t="s">
        <v>311</v>
      </c>
      <c r="D184" s="696" t="str">
        <f t="shared" si="8"/>
        <v>100-100-2410-6127-000-32-05</v>
      </c>
      <c r="E184" s="270" t="s">
        <v>312</v>
      </c>
      <c r="F184" s="696">
        <f t="shared" si="7"/>
        <v>0</v>
      </c>
      <c r="G184" s="696">
        <f>VLOOKUP(L184,'Function-Grant'!$C:$AM,12,'Function-Grant'!$C:$AM)</f>
        <v>0</v>
      </c>
      <c r="H184" s="271" t="s">
        <v>311</v>
      </c>
      <c r="J184" s="276" t="s">
        <v>267</v>
      </c>
      <c r="K184" s="697" t="str">
        <f t="shared" si="13"/>
        <v>2410</v>
      </c>
      <c r="L184" s="698">
        <v>6127</v>
      </c>
      <c r="M184" s="697" t="str">
        <f t="shared" si="14"/>
        <v>000</v>
      </c>
      <c r="N184" s="276" t="s">
        <v>814</v>
      </c>
    </row>
    <row r="185" spans="1:14" x14ac:dyDescent="0.2">
      <c r="A185" s="270" t="s">
        <v>249</v>
      </c>
      <c r="B185" s="270" t="s">
        <v>310</v>
      </c>
      <c r="C185" s="270" t="s">
        <v>311</v>
      </c>
      <c r="D185" s="696" t="str">
        <f t="shared" si="8"/>
        <v>100-100-2410-6151-000-32-05</v>
      </c>
      <c r="E185" s="270" t="s">
        <v>312</v>
      </c>
      <c r="F185" s="696">
        <f t="shared" si="7"/>
        <v>0</v>
      </c>
      <c r="G185" s="696">
        <f>VLOOKUP(L185,'Function-Grant'!$C:$AM,12,'Function-Grant'!$C:$AM)</f>
        <v>0</v>
      </c>
      <c r="H185" s="271" t="s">
        <v>311</v>
      </c>
      <c r="J185" s="276" t="s">
        <v>267</v>
      </c>
      <c r="K185" s="697" t="str">
        <f t="shared" si="13"/>
        <v>2410</v>
      </c>
      <c r="L185" s="698">
        <v>6151</v>
      </c>
      <c r="M185" s="697" t="str">
        <f t="shared" si="14"/>
        <v>000</v>
      </c>
      <c r="N185" s="276" t="s">
        <v>814</v>
      </c>
    </row>
    <row r="186" spans="1:14" x14ac:dyDescent="0.2">
      <c r="A186" s="270" t="s">
        <v>249</v>
      </c>
      <c r="B186" s="270" t="s">
        <v>310</v>
      </c>
      <c r="C186" s="270" t="s">
        <v>311</v>
      </c>
      <c r="D186" s="696" t="str">
        <f t="shared" si="8"/>
        <v>100-100-2410-6154-000-32-05</v>
      </c>
      <c r="E186" s="270" t="s">
        <v>312</v>
      </c>
      <c r="F186" s="696">
        <f t="shared" si="7"/>
        <v>11750</v>
      </c>
      <c r="G186" s="696">
        <f>VLOOKUP(L186,'Function-Grant'!$C:$AM,12,'Function-Grant'!$C:$AM)</f>
        <v>11750</v>
      </c>
      <c r="H186" s="271" t="s">
        <v>311</v>
      </c>
      <c r="J186" s="276" t="s">
        <v>267</v>
      </c>
      <c r="K186" s="697" t="str">
        <f t="shared" si="13"/>
        <v>2410</v>
      </c>
      <c r="L186" s="698">
        <v>6154</v>
      </c>
      <c r="M186" s="697" t="str">
        <f t="shared" si="14"/>
        <v>000</v>
      </c>
      <c r="N186" s="276" t="s">
        <v>814</v>
      </c>
    </row>
    <row r="187" spans="1:14" x14ac:dyDescent="0.2">
      <c r="A187" s="270" t="s">
        <v>249</v>
      </c>
      <c r="B187" s="270" t="s">
        <v>310</v>
      </c>
      <c r="C187" s="270" t="s">
        <v>311</v>
      </c>
      <c r="D187" s="696" t="str">
        <f t="shared" si="8"/>
        <v>100-100-2410-6157-000-32-05</v>
      </c>
      <c r="E187" s="270" t="s">
        <v>312</v>
      </c>
      <c r="F187" s="696">
        <f t="shared" si="7"/>
        <v>0</v>
      </c>
      <c r="G187" s="696">
        <f>VLOOKUP(L187,'Function-Grant'!$C:$AM,12,'Function-Grant'!$C:$AM)</f>
        <v>0</v>
      </c>
      <c r="H187" s="271" t="s">
        <v>311</v>
      </c>
      <c r="J187" s="276" t="s">
        <v>267</v>
      </c>
      <c r="K187" s="697" t="str">
        <f t="shared" si="13"/>
        <v>2410</v>
      </c>
      <c r="L187" s="698">
        <v>6157</v>
      </c>
      <c r="M187" s="697" t="str">
        <f t="shared" si="14"/>
        <v>000</v>
      </c>
      <c r="N187" s="276" t="s">
        <v>814</v>
      </c>
    </row>
    <row r="188" spans="1:14" x14ac:dyDescent="0.2">
      <c r="A188" s="270" t="s">
        <v>249</v>
      </c>
      <c r="B188" s="270" t="s">
        <v>310</v>
      </c>
      <c r="C188" s="270" t="s">
        <v>311</v>
      </c>
      <c r="D188" s="696" t="str">
        <f t="shared" si="8"/>
        <v>100-100-2410-6161-000-32-05</v>
      </c>
      <c r="E188" s="270" t="s">
        <v>312</v>
      </c>
      <c r="F188" s="696">
        <f t="shared" si="7"/>
        <v>0</v>
      </c>
      <c r="G188" s="696">
        <f>VLOOKUP(L188,'Function-Grant'!$C:$AM,12,'Function-Grant'!$C:$AM)</f>
        <v>0</v>
      </c>
      <c r="H188" s="271" t="s">
        <v>311</v>
      </c>
      <c r="J188" s="276" t="s">
        <v>267</v>
      </c>
      <c r="K188" s="697" t="str">
        <f t="shared" si="13"/>
        <v>2410</v>
      </c>
      <c r="L188" s="698">
        <v>6161</v>
      </c>
      <c r="M188" s="697" t="str">
        <f t="shared" si="14"/>
        <v>000</v>
      </c>
      <c r="N188" s="276" t="s">
        <v>814</v>
      </c>
    </row>
    <row r="189" spans="1:14" x14ac:dyDescent="0.2">
      <c r="A189" s="270" t="s">
        <v>249</v>
      </c>
      <c r="B189" s="270" t="s">
        <v>310</v>
      </c>
      <c r="C189" s="270" t="s">
        <v>311</v>
      </c>
      <c r="D189" s="696" t="str">
        <f t="shared" si="8"/>
        <v>100-100-2410-6164-000-32-05</v>
      </c>
      <c r="E189" s="270" t="s">
        <v>312</v>
      </c>
      <c r="F189" s="696">
        <f t="shared" si="7"/>
        <v>8000</v>
      </c>
      <c r="G189" s="696">
        <f>VLOOKUP(L189,'Function-Grant'!$C:$AM,12,'Function-Grant'!$C:$AM)</f>
        <v>8000</v>
      </c>
      <c r="H189" s="271" t="s">
        <v>311</v>
      </c>
      <c r="J189" s="276" t="s">
        <v>267</v>
      </c>
      <c r="K189" s="697" t="str">
        <f t="shared" si="13"/>
        <v>2410</v>
      </c>
      <c r="L189" s="698">
        <v>6164</v>
      </c>
      <c r="M189" s="697" t="str">
        <f t="shared" si="14"/>
        <v>000</v>
      </c>
      <c r="N189" s="276" t="s">
        <v>814</v>
      </c>
    </row>
    <row r="190" spans="1:14" x14ac:dyDescent="0.2">
      <c r="A190" s="270" t="s">
        <v>249</v>
      </c>
      <c r="B190" s="270" t="s">
        <v>310</v>
      </c>
      <c r="C190" s="270" t="s">
        <v>311</v>
      </c>
      <c r="D190" s="696" t="str">
        <f t="shared" si="8"/>
        <v>100-100-2410-6167-000-32-05</v>
      </c>
      <c r="E190" s="270" t="s">
        <v>312</v>
      </c>
      <c r="F190" s="696">
        <f t="shared" si="7"/>
        <v>0</v>
      </c>
      <c r="G190" s="696">
        <f>VLOOKUP(L190,'Function-Grant'!$C:$AM,12,'Function-Grant'!$C:$AM)</f>
        <v>0</v>
      </c>
      <c r="H190" s="271" t="s">
        <v>311</v>
      </c>
      <c r="J190" s="276" t="s">
        <v>267</v>
      </c>
      <c r="K190" s="697" t="str">
        <f t="shared" si="13"/>
        <v>2410</v>
      </c>
      <c r="L190" s="698">
        <v>6167</v>
      </c>
      <c r="M190" s="697" t="str">
        <f t="shared" si="14"/>
        <v>000</v>
      </c>
      <c r="N190" s="276" t="s">
        <v>814</v>
      </c>
    </row>
    <row r="191" spans="1:14" x14ac:dyDescent="0.2">
      <c r="A191" s="270" t="s">
        <v>249</v>
      </c>
      <c r="B191" s="270" t="s">
        <v>310</v>
      </c>
      <c r="C191" s="270" t="s">
        <v>311</v>
      </c>
      <c r="D191" s="696" t="str">
        <f t="shared" si="8"/>
        <v>100-100-2410-6211-000-32-05</v>
      </c>
      <c r="E191" s="270" t="s">
        <v>312</v>
      </c>
      <c r="F191" s="696">
        <f t="shared" si="7"/>
        <v>0</v>
      </c>
      <c r="G191" s="696">
        <f>VLOOKUP(L191,'Function-Grant'!$C:$AM,12,'Function-Grant'!$C:$AM)</f>
        <v>0</v>
      </c>
      <c r="H191" s="271" t="s">
        <v>311</v>
      </c>
      <c r="J191" s="276" t="s">
        <v>267</v>
      </c>
      <c r="K191" s="697" t="str">
        <f t="shared" si="13"/>
        <v>2410</v>
      </c>
      <c r="L191" s="698">
        <v>6211</v>
      </c>
      <c r="M191" s="697" t="str">
        <f t="shared" si="14"/>
        <v>000</v>
      </c>
      <c r="N191" s="276" t="s">
        <v>814</v>
      </c>
    </row>
    <row r="192" spans="1:14" x14ac:dyDescent="0.2">
      <c r="A192" s="270" t="s">
        <v>249</v>
      </c>
      <c r="B192" s="270" t="s">
        <v>310</v>
      </c>
      <c r="C192" s="270" t="s">
        <v>311</v>
      </c>
      <c r="D192" s="696" t="str">
        <f t="shared" si="8"/>
        <v>100-100-2410-6214-000-32-05</v>
      </c>
      <c r="E192" s="270" t="s">
        <v>312</v>
      </c>
      <c r="F192" s="696">
        <f t="shared" si="7"/>
        <v>888</v>
      </c>
      <c r="G192" s="696">
        <f>VLOOKUP(L192,'Function-Grant'!$C:$AM,12,'Function-Grant'!$C:$AM)</f>
        <v>888</v>
      </c>
      <c r="H192" s="271" t="s">
        <v>311</v>
      </c>
      <c r="J192" s="276" t="s">
        <v>267</v>
      </c>
      <c r="K192" s="697" t="str">
        <f t="shared" si="13"/>
        <v>2410</v>
      </c>
      <c r="L192" s="698">
        <v>6214</v>
      </c>
      <c r="M192" s="697" t="str">
        <f t="shared" si="14"/>
        <v>000</v>
      </c>
      <c r="N192" s="276" t="s">
        <v>814</v>
      </c>
    </row>
    <row r="193" spans="1:14" x14ac:dyDescent="0.2">
      <c r="A193" s="270" t="s">
        <v>249</v>
      </c>
      <c r="B193" s="270" t="s">
        <v>310</v>
      </c>
      <c r="C193" s="270" t="s">
        <v>311</v>
      </c>
      <c r="D193" s="696" t="str">
        <f t="shared" si="8"/>
        <v>100-100-2410-6217-000-32-05</v>
      </c>
      <c r="E193" s="270" t="s">
        <v>312</v>
      </c>
      <c r="F193" s="696">
        <f t="shared" si="7"/>
        <v>0</v>
      </c>
      <c r="G193" s="696">
        <f>VLOOKUP(L193,'Function-Grant'!$C:$AM,12,'Function-Grant'!$C:$AM)</f>
        <v>0</v>
      </c>
      <c r="H193" s="271" t="s">
        <v>311</v>
      </c>
      <c r="J193" s="276" t="s">
        <v>267</v>
      </c>
      <c r="K193" s="697" t="str">
        <f t="shared" si="13"/>
        <v>2410</v>
      </c>
      <c r="L193" s="698">
        <v>6217</v>
      </c>
      <c r="M193" s="697" t="str">
        <f t="shared" si="14"/>
        <v>000</v>
      </c>
      <c r="N193" s="276" t="s">
        <v>814</v>
      </c>
    </row>
    <row r="194" spans="1:14" x14ac:dyDescent="0.2">
      <c r="A194" s="270" t="s">
        <v>249</v>
      </c>
      <c r="B194" s="270" t="s">
        <v>310</v>
      </c>
      <c r="C194" s="270" t="s">
        <v>311</v>
      </c>
      <c r="D194" s="696" t="str">
        <f t="shared" si="8"/>
        <v>100-100-2410-6221-000-32-05</v>
      </c>
      <c r="E194" s="270" t="s">
        <v>312</v>
      </c>
      <c r="F194" s="696">
        <f t="shared" si="7"/>
        <v>0</v>
      </c>
      <c r="G194" s="696" t="e">
        <f>VLOOKUP(L194,'Function-Grant'!$C:$AM,12,'Function-Grant'!$C:$AM)</f>
        <v>#N/A</v>
      </c>
      <c r="H194" s="271" t="s">
        <v>311</v>
      </c>
      <c r="J194" s="276" t="s">
        <v>267</v>
      </c>
      <c r="K194" s="697" t="str">
        <f t="shared" si="13"/>
        <v>2410</v>
      </c>
      <c r="L194" s="698">
        <v>6221</v>
      </c>
      <c r="M194" s="697" t="str">
        <f t="shared" si="14"/>
        <v>000</v>
      </c>
      <c r="N194" s="276" t="s">
        <v>814</v>
      </c>
    </row>
    <row r="195" spans="1:14" x14ac:dyDescent="0.2">
      <c r="A195" s="270" t="s">
        <v>249</v>
      </c>
      <c r="B195" s="270" t="s">
        <v>310</v>
      </c>
      <c r="C195" s="270" t="s">
        <v>311</v>
      </c>
      <c r="D195" s="696" t="str">
        <f t="shared" si="8"/>
        <v>100-100-2410-6222-000-32-05</v>
      </c>
      <c r="E195" s="270" t="s">
        <v>312</v>
      </c>
      <c r="F195" s="696">
        <f t="shared" si="7"/>
        <v>0</v>
      </c>
      <c r="G195" s="696" t="e">
        <f>VLOOKUP(L195,'Function-Grant'!$C:$AM,12,'Function-Grant'!$C:$AM)</f>
        <v>#N/A</v>
      </c>
      <c r="H195" s="271" t="s">
        <v>311</v>
      </c>
      <c r="J195" s="276" t="s">
        <v>267</v>
      </c>
      <c r="K195" s="697" t="str">
        <f t="shared" si="13"/>
        <v>2410</v>
      </c>
      <c r="L195" s="698">
        <v>6222</v>
      </c>
      <c r="M195" s="697" t="str">
        <f t="shared" si="14"/>
        <v>000</v>
      </c>
      <c r="N195" s="276" t="s">
        <v>814</v>
      </c>
    </row>
    <row r="196" spans="1:14" x14ac:dyDescent="0.2">
      <c r="A196" s="270" t="s">
        <v>249</v>
      </c>
      <c r="B196" s="270" t="s">
        <v>310</v>
      </c>
      <c r="C196" s="270" t="s">
        <v>311</v>
      </c>
      <c r="D196" s="696" t="str">
        <f t="shared" si="8"/>
        <v>100-100-2410-6227-000-32-05</v>
      </c>
      <c r="E196" s="270" t="s">
        <v>312</v>
      </c>
      <c r="F196" s="696">
        <f t="shared" si="7"/>
        <v>0</v>
      </c>
      <c r="G196" s="696">
        <f>VLOOKUP(L196,'Function-Grant'!$C:$AM,12,'Function-Grant'!$C:$AM)</f>
        <v>0</v>
      </c>
      <c r="H196" s="271" t="s">
        <v>311</v>
      </c>
      <c r="J196" s="276" t="s">
        <v>267</v>
      </c>
      <c r="K196" s="697" t="str">
        <f t="shared" si="13"/>
        <v>2410</v>
      </c>
      <c r="L196" s="698">
        <v>6227</v>
      </c>
      <c r="M196" s="697" t="str">
        <f t="shared" si="14"/>
        <v>000</v>
      </c>
      <c r="N196" s="276" t="s">
        <v>814</v>
      </c>
    </row>
    <row r="197" spans="1:14" x14ac:dyDescent="0.2">
      <c r="A197" s="270" t="s">
        <v>249</v>
      </c>
      <c r="B197" s="270" t="s">
        <v>310</v>
      </c>
      <c r="C197" s="270" t="s">
        <v>311</v>
      </c>
      <c r="D197" s="696" t="str">
        <f t="shared" si="8"/>
        <v>100-100-2410-6231-000-32-05</v>
      </c>
      <c r="E197" s="270" t="s">
        <v>312</v>
      </c>
      <c r="F197" s="696">
        <f t="shared" si="7"/>
        <v>0</v>
      </c>
      <c r="G197" s="696">
        <f>VLOOKUP(L197,'Function-Grant'!$C:$AM,12,'Function-Grant'!$C:$AM)</f>
        <v>0</v>
      </c>
      <c r="H197" s="271" t="s">
        <v>311</v>
      </c>
      <c r="J197" s="276" t="s">
        <v>267</v>
      </c>
      <c r="K197" s="697" t="str">
        <f t="shared" si="13"/>
        <v>2410</v>
      </c>
      <c r="L197" s="698">
        <v>6231</v>
      </c>
      <c r="M197" s="697" t="str">
        <f t="shared" si="14"/>
        <v>000</v>
      </c>
      <c r="N197" s="276" t="s">
        <v>814</v>
      </c>
    </row>
    <row r="198" spans="1:14" x14ac:dyDescent="0.2">
      <c r="A198" s="270" t="s">
        <v>249</v>
      </c>
      <c r="B198" s="270" t="s">
        <v>310</v>
      </c>
      <c r="C198" s="270" t="s">
        <v>311</v>
      </c>
      <c r="D198" s="696" t="str">
        <f t="shared" si="8"/>
        <v>100-100-2410-6234-000-32-05</v>
      </c>
      <c r="E198" s="270" t="s">
        <v>312</v>
      </c>
      <c r="F198" s="696">
        <f t="shared" si="7"/>
        <v>49542.318000000028</v>
      </c>
      <c r="G198" s="696">
        <f>VLOOKUP(L198,'Function-Grant'!$C:$AM,12,'Function-Grant'!$C:$AM)</f>
        <v>49542.318000000028</v>
      </c>
      <c r="H198" s="271" t="s">
        <v>311</v>
      </c>
      <c r="J198" s="276" t="s">
        <v>267</v>
      </c>
      <c r="K198" s="697" t="str">
        <f t="shared" si="13"/>
        <v>2410</v>
      </c>
      <c r="L198" s="698">
        <v>6234</v>
      </c>
      <c r="M198" s="697" t="str">
        <f t="shared" si="14"/>
        <v>000</v>
      </c>
      <c r="N198" s="276" t="s">
        <v>814</v>
      </c>
    </row>
    <row r="199" spans="1:14" x14ac:dyDescent="0.2">
      <c r="A199" s="270" t="s">
        <v>249</v>
      </c>
      <c r="B199" s="270" t="s">
        <v>310</v>
      </c>
      <c r="C199" s="270" t="s">
        <v>311</v>
      </c>
      <c r="D199" s="696" t="str">
        <f t="shared" si="8"/>
        <v>100-100-2410-6237-000-32-05</v>
      </c>
      <c r="E199" s="270" t="s">
        <v>312</v>
      </c>
      <c r="F199" s="696">
        <f t="shared" si="7"/>
        <v>0</v>
      </c>
      <c r="G199" s="696">
        <f>VLOOKUP(L199,'Function-Grant'!$C:$AM,12,'Function-Grant'!$C:$AM)</f>
        <v>0</v>
      </c>
      <c r="H199" s="271" t="s">
        <v>311</v>
      </c>
      <c r="J199" s="276" t="s">
        <v>267</v>
      </c>
      <c r="K199" s="697" t="str">
        <f t="shared" ref="K199:K342" si="19">LEFT(J199,4)</f>
        <v>2410</v>
      </c>
      <c r="L199" s="698">
        <v>6237</v>
      </c>
      <c r="M199" s="697" t="str">
        <f t="shared" ref="M199:M342" si="20">RIGHT(J199,3)</f>
        <v>000</v>
      </c>
      <c r="N199" s="276" t="s">
        <v>814</v>
      </c>
    </row>
    <row r="200" spans="1:14" x14ac:dyDescent="0.2">
      <c r="A200" s="270" t="s">
        <v>249</v>
      </c>
      <c r="B200" s="270" t="s">
        <v>310</v>
      </c>
      <c r="C200" s="270" t="s">
        <v>311</v>
      </c>
      <c r="D200" s="696" t="str">
        <f t="shared" si="8"/>
        <v>100-100-2410-6241-000-32-05</v>
      </c>
      <c r="E200" s="270" t="s">
        <v>312</v>
      </c>
      <c r="F200" s="696">
        <f t="shared" si="7"/>
        <v>0</v>
      </c>
      <c r="G200" s="696">
        <f>VLOOKUP(L200,'Function-Grant'!$C:$AM,12,'Function-Grant'!$C:$AM)</f>
        <v>0</v>
      </c>
      <c r="H200" s="271" t="s">
        <v>311</v>
      </c>
      <c r="J200" s="276" t="s">
        <v>267</v>
      </c>
      <c r="K200" s="697" t="str">
        <f t="shared" si="19"/>
        <v>2410</v>
      </c>
      <c r="L200" s="698">
        <v>6241</v>
      </c>
      <c r="M200" s="697" t="str">
        <f t="shared" si="20"/>
        <v>000</v>
      </c>
      <c r="N200" s="276" t="s">
        <v>814</v>
      </c>
    </row>
    <row r="201" spans="1:14" x14ac:dyDescent="0.2">
      <c r="A201" s="270" t="s">
        <v>249</v>
      </c>
      <c r="B201" s="270" t="s">
        <v>310</v>
      </c>
      <c r="C201" s="270" t="s">
        <v>311</v>
      </c>
      <c r="D201" s="696" t="str">
        <f t="shared" si="8"/>
        <v>100-100-2410-6242-000-32-05</v>
      </c>
      <c r="E201" s="270" t="s">
        <v>312</v>
      </c>
      <c r="F201" s="696">
        <f t="shared" si="7"/>
        <v>0</v>
      </c>
      <c r="G201" s="696" t="e">
        <f>VLOOKUP(L201,'Function-Grant'!$C:$AM,12,'Function-Grant'!$C:$AM)</f>
        <v>#N/A</v>
      </c>
      <c r="H201" s="271" t="s">
        <v>311</v>
      </c>
      <c r="J201" s="276" t="s">
        <v>267</v>
      </c>
      <c r="K201" s="697" t="str">
        <f t="shared" si="19"/>
        <v>2410</v>
      </c>
      <c r="L201" s="698">
        <v>6242</v>
      </c>
      <c r="M201" s="697" t="str">
        <f t="shared" si="20"/>
        <v>000</v>
      </c>
      <c r="N201" s="276" t="s">
        <v>814</v>
      </c>
    </row>
    <row r="202" spans="1:14" x14ac:dyDescent="0.2">
      <c r="A202" s="270" t="s">
        <v>249</v>
      </c>
      <c r="B202" s="270" t="s">
        <v>310</v>
      </c>
      <c r="C202" s="270" t="s">
        <v>311</v>
      </c>
      <c r="D202" s="696" t="str">
        <f t="shared" si="8"/>
        <v>100-100-2410-6244-000-32-05</v>
      </c>
      <c r="E202" s="270" t="s">
        <v>312</v>
      </c>
      <c r="F202" s="696">
        <f t="shared" si="7"/>
        <v>3541.8454000000011</v>
      </c>
      <c r="G202" s="696">
        <f>VLOOKUP(L202,'Function-Grant'!$C:$AM,12,'Function-Grant'!$C:$AM)</f>
        <v>3541.8454000000011</v>
      </c>
      <c r="H202" s="271" t="s">
        <v>311</v>
      </c>
      <c r="J202" s="276" t="s">
        <v>267</v>
      </c>
      <c r="K202" s="697" t="str">
        <f t="shared" si="19"/>
        <v>2410</v>
      </c>
      <c r="L202" s="698">
        <v>6244</v>
      </c>
      <c r="M202" s="697" t="str">
        <f t="shared" si="20"/>
        <v>000</v>
      </c>
      <c r="N202" s="276" t="s">
        <v>814</v>
      </c>
    </row>
    <row r="203" spans="1:14" x14ac:dyDescent="0.2">
      <c r="A203" s="270" t="s">
        <v>249</v>
      </c>
      <c r="B203" s="270" t="s">
        <v>310</v>
      </c>
      <c r="C203" s="270" t="s">
        <v>311</v>
      </c>
      <c r="D203" s="696" t="str">
        <f t="shared" si="8"/>
        <v>100-100-2410-6247-000-32-05</v>
      </c>
      <c r="E203" s="270" t="s">
        <v>312</v>
      </c>
      <c r="F203" s="696">
        <f t="shared" si="7"/>
        <v>0</v>
      </c>
      <c r="G203" s="696">
        <f>VLOOKUP(L203,'Function-Grant'!$C:$AM,12,'Function-Grant'!$C:$AM)</f>
        <v>0</v>
      </c>
      <c r="H203" s="271" t="s">
        <v>311</v>
      </c>
      <c r="J203" s="276" t="s">
        <v>267</v>
      </c>
      <c r="K203" s="697" t="str">
        <f t="shared" si="19"/>
        <v>2410</v>
      </c>
      <c r="L203" s="698">
        <v>6247</v>
      </c>
      <c r="M203" s="697" t="str">
        <f t="shared" si="20"/>
        <v>000</v>
      </c>
      <c r="N203" s="276" t="s">
        <v>814</v>
      </c>
    </row>
    <row r="204" spans="1:14" x14ac:dyDescent="0.2">
      <c r="A204" s="270" t="s">
        <v>249</v>
      </c>
      <c r="B204" s="270" t="s">
        <v>310</v>
      </c>
      <c r="C204" s="270" t="s">
        <v>311</v>
      </c>
      <c r="D204" s="696" t="str">
        <f t="shared" si="8"/>
        <v>100-100-2410-6261-000-32-05</v>
      </c>
      <c r="E204" s="270" t="s">
        <v>312</v>
      </c>
      <c r="F204" s="696">
        <f t="shared" si="7"/>
        <v>0</v>
      </c>
      <c r="G204" s="696">
        <f>VLOOKUP(L204,'Function-Grant'!$C:$AM,12,'Function-Grant'!$C:$AM)</f>
        <v>0</v>
      </c>
      <c r="H204" s="271" t="s">
        <v>311</v>
      </c>
      <c r="J204" s="276" t="s">
        <v>267</v>
      </c>
      <c r="K204" s="697" t="str">
        <f t="shared" si="19"/>
        <v>2410</v>
      </c>
      <c r="L204" s="698">
        <v>6261</v>
      </c>
      <c r="M204" s="697" t="str">
        <f t="shared" si="20"/>
        <v>000</v>
      </c>
      <c r="N204" s="276" t="s">
        <v>814</v>
      </c>
    </row>
    <row r="205" spans="1:14" x14ac:dyDescent="0.2">
      <c r="A205" s="270" t="s">
        <v>249</v>
      </c>
      <c r="B205" s="270" t="s">
        <v>310</v>
      </c>
      <c r="C205" s="270" t="s">
        <v>311</v>
      </c>
      <c r="D205" s="696" t="str">
        <f t="shared" si="8"/>
        <v>100-100-2410-6262-000-32-05</v>
      </c>
      <c r="E205" s="270" t="s">
        <v>312</v>
      </c>
      <c r="F205" s="696">
        <f t="shared" si="7"/>
        <v>0</v>
      </c>
      <c r="G205" s="696" t="e">
        <f>VLOOKUP(L205,'Function-Grant'!$C:$AM,12,'Function-Grant'!$C:$AM)</f>
        <v>#N/A</v>
      </c>
      <c r="H205" s="271" t="s">
        <v>311</v>
      </c>
      <c r="J205" s="276" t="s">
        <v>267</v>
      </c>
      <c r="K205" s="697" t="str">
        <f t="shared" si="19"/>
        <v>2410</v>
      </c>
      <c r="L205" s="698">
        <v>6262</v>
      </c>
      <c r="M205" s="697" t="str">
        <f t="shared" si="20"/>
        <v>000</v>
      </c>
      <c r="N205" s="276" t="s">
        <v>814</v>
      </c>
    </row>
    <row r="206" spans="1:14" x14ac:dyDescent="0.2">
      <c r="A206" s="270" t="s">
        <v>249</v>
      </c>
      <c r="B206" s="270" t="s">
        <v>310</v>
      </c>
      <c r="C206" s="270" t="s">
        <v>311</v>
      </c>
      <c r="D206" s="696" t="str">
        <f t="shared" si="8"/>
        <v>100-100-2410-6264-000-32-05</v>
      </c>
      <c r="E206" s="270" t="s">
        <v>312</v>
      </c>
      <c r="F206" s="696">
        <f t="shared" si="7"/>
        <v>897</v>
      </c>
      <c r="G206" s="696">
        <f>VLOOKUP(L206,'Function-Grant'!$C:$AM,12,'Function-Grant'!$C:$AM)</f>
        <v>897</v>
      </c>
      <c r="H206" s="271" t="s">
        <v>311</v>
      </c>
      <c r="J206" s="276" t="s">
        <v>267</v>
      </c>
      <c r="K206" s="697" t="str">
        <f t="shared" si="19"/>
        <v>2410</v>
      </c>
      <c r="L206" s="698">
        <v>6264</v>
      </c>
      <c r="M206" s="697" t="str">
        <f t="shared" si="20"/>
        <v>000</v>
      </c>
      <c r="N206" s="276" t="s">
        <v>814</v>
      </c>
    </row>
    <row r="207" spans="1:14" x14ac:dyDescent="0.2">
      <c r="A207" s="270" t="s">
        <v>249</v>
      </c>
      <c r="B207" s="270" t="s">
        <v>310</v>
      </c>
      <c r="C207" s="270" t="s">
        <v>311</v>
      </c>
      <c r="D207" s="696" t="str">
        <f t="shared" si="8"/>
        <v>100-100-2410-6267-000-32-05</v>
      </c>
      <c r="E207" s="270" t="s">
        <v>312</v>
      </c>
      <c r="F207" s="696">
        <f t="shared" si="7"/>
        <v>0</v>
      </c>
      <c r="G207" s="696">
        <f>VLOOKUP(L207,'Function-Grant'!$C:$AM,12,'Function-Grant'!$C:$AM)</f>
        <v>0</v>
      </c>
      <c r="H207" s="271" t="s">
        <v>311</v>
      </c>
      <c r="J207" s="276" t="s">
        <v>267</v>
      </c>
      <c r="K207" s="697" t="str">
        <f t="shared" si="19"/>
        <v>2410</v>
      </c>
      <c r="L207" s="698">
        <v>6267</v>
      </c>
      <c r="M207" s="697" t="str">
        <f t="shared" si="20"/>
        <v>000</v>
      </c>
      <c r="N207" s="276" t="s">
        <v>814</v>
      </c>
    </row>
    <row r="208" spans="1:14" x14ac:dyDescent="0.2">
      <c r="A208" s="270" t="s">
        <v>249</v>
      </c>
      <c r="B208" s="270" t="s">
        <v>310</v>
      </c>
      <c r="C208" s="270" t="s">
        <v>311</v>
      </c>
      <c r="D208" s="696" t="str">
        <f t="shared" si="8"/>
        <v>100-100-2410-6271-000-32-05</v>
      </c>
      <c r="E208" s="270" t="s">
        <v>312</v>
      </c>
      <c r="F208" s="696">
        <f t="shared" si="7"/>
        <v>0</v>
      </c>
      <c r="G208" s="696">
        <f>VLOOKUP(L208,'Function-Grant'!$C:$AM,12,'Function-Grant'!$C:$AM)</f>
        <v>0</v>
      </c>
      <c r="H208" s="271" t="s">
        <v>311</v>
      </c>
      <c r="J208" s="276" t="s">
        <v>267</v>
      </c>
      <c r="K208" s="697" t="str">
        <f t="shared" si="19"/>
        <v>2410</v>
      </c>
      <c r="L208" s="698">
        <v>6271</v>
      </c>
      <c r="M208" s="697" t="str">
        <f t="shared" si="20"/>
        <v>000</v>
      </c>
      <c r="N208" s="276" t="s">
        <v>814</v>
      </c>
    </row>
    <row r="209" spans="1:14" x14ac:dyDescent="0.2">
      <c r="A209" s="270" t="s">
        <v>249</v>
      </c>
      <c r="B209" s="270" t="s">
        <v>310</v>
      </c>
      <c r="C209" s="270" t="s">
        <v>311</v>
      </c>
      <c r="D209" s="696" t="str">
        <f t="shared" si="8"/>
        <v>100-100-2410-6274-000-32-05</v>
      </c>
      <c r="E209" s="270" t="s">
        <v>312</v>
      </c>
      <c r="F209" s="696">
        <f t="shared" si="7"/>
        <v>1831.989</v>
      </c>
      <c r="G209" s="696">
        <f>VLOOKUP(L209,'Function-Grant'!$C:$AM,12,'Function-Grant'!$C:$AM)</f>
        <v>1831.989</v>
      </c>
      <c r="H209" s="271" t="s">
        <v>311</v>
      </c>
      <c r="J209" s="276" t="s">
        <v>267</v>
      </c>
      <c r="K209" s="697" t="str">
        <f t="shared" si="19"/>
        <v>2410</v>
      </c>
      <c r="L209" s="698">
        <v>6274</v>
      </c>
      <c r="M209" s="697" t="str">
        <f t="shared" si="20"/>
        <v>000</v>
      </c>
      <c r="N209" s="276" t="s">
        <v>814</v>
      </c>
    </row>
    <row r="210" spans="1:14" x14ac:dyDescent="0.2">
      <c r="A210" s="270" t="s">
        <v>249</v>
      </c>
      <c r="B210" s="270" t="s">
        <v>310</v>
      </c>
      <c r="C210" s="270" t="s">
        <v>311</v>
      </c>
      <c r="D210" s="696" t="str">
        <f t="shared" si="8"/>
        <v>100-100-2410-6277-000-32-05</v>
      </c>
      <c r="E210" s="270" t="s">
        <v>312</v>
      </c>
      <c r="F210" s="696">
        <f t="shared" si="7"/>
        <v>0</v>
      </c>
      <c r="G210" s="696">
        <f>VLOOKUP(L210,'Function-Grant'!$C:$AM,12,'Function-Grant'!$C:$AM)</f>
        <v>0</v>
      </c>
      <c r="H210" s="271" t="s">
        <v>311</v>
      </c>
      <c r="J210" s="276" t="s">
        <v>267</v>
      </c>
      <c r="K210" s="697" t="str">
        <f t="shared" si="19"/>
        <v>2410</v>
      </c>
      <c r="L210" s="698">
        <v>6277</v>
      </c>
      <c r="M210" s="697" t="str">
        <f t="shared" si="20"/>
        <v>000</v>
      </c>
      <c r="N210" s="276" t="s">
        <v>814</v>
      </c>
    </row>
    <row r="211" spans="1:14" x14ac:dyDescent="0.2">
      <c r="A211" s="270" t="s">
        <v>249</v>
      </c>
      <c r="B211" s="270" t="s">
        <v>310</v>
      </c>
      <c r="C211" s="270" t="s">
        <v>311</v>
      </c>
      <c r="D211" s="696" t="str">
        <f t="shared" si="8"/>
        <v>100-100-2410-6281-000-32-05</v>
      </c>
      <c r="E211" s="270" t="s">
        <v>312</v>
      </c>
      <c r="F211" s="696">
        <f t="shared" si="7"/>
        <v>0</v>
      </c>
      <c r="G211" s="696">
        <f>VLOOKUP(L211,'Function-Grant'!$C:$AM,12,'Function-Grant'!$C:$AM)</f>
        <v>0</v>
      </c>
      <c r="H211" s="271" t="s">
        <v>311</v>
      </c>
      <c r="J211" s="276" t="s">
        <v>267</v>
      </c>
      <c r="K211" s="697" t="str">
        <f t="shared" si="19"/>
        <v>2410</v>
      </c>
      <c r="L211" s="698">
        <v>6281</v>
      </c>
      <c r="M211" s="697" t="str">
        <f t="shared" si="20"/>
        <v>000</v>
      </c>
      <c r="N211" s="276" t="s">
        <v>814</v>
      </c>
    </row>
    <row r="212" spans="1:14" x14ac:dyDescent="0.2">
      <c r="A212" s="270" t="s">
        <v>249</v>
      </c>
      <c r="B212" s="270" t="s">
        <v>310</v>
      </c>
      <c r="C212" s="270" t="s">
        <v>311</v>
      </c>
      <c r="D212" s="696" t="str">
        <f t="shared" si="8"/>
        <v>100-100-2410-6284-000-32-05</v>
      </c>
      <c r="E212" s="270" t="s">
        <v>312</v>
      </c>
      <c r="F212" s="696">
        <f t="shared" si="7"/>
        <v>9720</v>
      </c>
      <c r="G212" s="696">
        <f>VLOOKUP(L212,'Function-Grant'!$C:$AM,12,'Function-Grant'!$C:$AM)</f>
        <v>9720</v>
      </c>
      <c r="H212" s="271" t="s">
        <v>311</v>
      </c>
      <c r="J212" s="276" t="s">
        <v>267</v>
      </c>
      <c r="K212" s="697" t="str">
        <f t="shared" si="19"/>
        <v>2410</v>
      </c>
      <c r="L212" s="698">
        <v>6284</v>
      </c>
      <c r="M212" s="697" t="str">
        <f t="shared" si="20"/>
        <v>000</v>
      </c>
      <c r="N212" s="276" t="s">
        <v>814</v>
      </c>
    </row>
    <row r="213" spans="1:14" x14ac:dyDescent="0.2">
      <c r="A213" s="270" t="s">
        <v>249</v>
      </c>
      <c r="B213" s="270" t="s">
        <v>310</v>
      </c>
      <c r="C213" s="270" t="s">
        <v>311</v>
      </c>
      <c r="D213" s="696" t="str">
        <f t="shared" si="8"/>
        <v>100-100-2410-6287-000-32-05</v>
      </c>
      <c r="E213" s="270" t="s">
        <v>312</v>
      </c>
      <c r="F213" s="696">
        <f t="shared" si="7"/>
        <v>0</v>
      </c>
      <c r="G213" s="696">
        <f>VLOOKUP(L213,'Function-Grant'!$C:$AM,12,'Function-Grant'!$C:$AM)</f>
        <v>0</v>
      </c>
      <c r="H213" s="271" t="s">
        <v>311</v>
      </c>
      <c r="J213" s="276" t="s">
        <v>267</v>
      </c>
      <c r="K213" s="697" t="str">
        <f t="shared" si="19"/>
        <v>2410</v>
      </c>
      <c r="L213" s="698">
        <v>6287</v>
      </c>
      <c r="M213" s="697" t="str">
        <f t="shared" si="20"/>
        <v>000</v>
      </c>
      <c r="N213" s="276" t="s">
        <v>814</v>
      </c>
    </row>
    <row r="214" spans="1:14" x14ac:dyDescent="0.2">
      <c r="A214" s="270" t="s">
        <v>249</v>
      </c>
      <c r="B214" s="270" t="s">
        <v>310</v>
      </c>
      <c r="C214" s="270" t="s">
        <v>311</v>
      </c>
      <c r="D214" s="696" t="str">
        <f t="shared" si="8"/>
        <v>100-100-2410-6300-000-32-05</v>
      </c>
      <c r="E214" s="270" t="s">
        <v>312</v>
      </c>
      <c r="F214" s="696">
        <f t="shared" si="7"/>
        <v>0</v>
      </c>
      <c r="G214" s="696">
        <f>VLOOKUP(L214,'Function-Grant'!$C:$AM,12,'Function-Grant'!$C:$AM)</f>
        <v>0</v>
      </c>
      <c r="H214" s="271" t="s">
        <v>311</v>
      </c>
      <c r="J214" s="276" t="s">
        <v>267</v>
      </c>
      <c r="K214" s="697" t="str">
        <f t="shared" si="19"/>
        <v>2410</v>
      </c>
      <c r="L214" s="698">
        <v>6300</v>
      </c>
      <c r="M214" s="697" t="str">
        <f t="shared" si="20"/>
        <v>000</v>
      </c>
      <c r="N214" s="276" t="s">
        <v>814</v>
      </c>
    </row>
    <row r="215" spans="1:14" x14ac:dyDescent="0.2">
      <c r="A215" s="270" t="s">
        <v>249</v>
      </c>
      <c r="B215" s="270" t="s">
        <v>310</v>
      </c>
      <c r="C215" s="270" t="s">
        <v>311</v>
      </c>
      <c r="D215" s="696" t="str">
        <f t="shared" si="8"/>
        <v>100-100-2410-6320-000-32-05</v>
      </c>
      <c r="E215" s="270" t="s">
        <v>312</v>
      </c>
      <c r="F215" s="696">
        <f t="shared" si="7"/>
        <v>0</v>
      </c>
      <c r="G215" s="696">
        <f>VLOOKUP(L215,'Function-Grant'!$C:$AM,12,'Function-Grant'!$C:$AM)</f>
        <v>0</v>
      </c>
      <c r="H215" s="271" t="s">
        <v>311</v>
      </c>
      <c r="J215" s="276" t="s">
        <v>267</v>
      </c>
      <c r="K215" s="697" t="str">
        <f t="shared" si="19"/>
        <v>2410</v>
      </c>
      <c r="L215" s="698">
        <v>6320</v>
      </c>
      <c r="M215" s="697" t="str">
        <f t="shared" si="20"/>
        <v>000</v>
      </c>
      <c r="N215" s="276" t="s">
        <v>814</v>
      </c>
    </row>
    <row r="216" spans="1:14" x14ac:dyDescent="0.2">
      <c r="A216" s="270" t="s">
        <v>249</v>
      </c>
      <c r="B216" s="270" t="s">
        <v>310</v>
      </c>
      <c r="C216" s="270" t="s">
        <v>311</v>
      </c>
      <c r="D216" s="696" t="str">
        <f t="shared" si="8"/>
        <v>100-100-2410-6331-000-32-05</v>
      </c>
      <c r="E216" s="270" t="s">
        <v>312</v>
      </c>
      <c r="F216" s="696">
        <f t="shared" si="7"/>
        <v>0</v>
      </c>
      <c r="G216" s="696">
        <f>VLOOKUP(L216,'Function-Grant'!$C:$AM,12,'Function-Grant'!$C:$AM)</f>
        <v>0</v>
      </c>
      <c r="H216" s="271" t="s">
        <v>311</v>
      </c>
      <c r="J216" s="276" t="s">
        <v>267</v>
      </c>
      <c r="K216" s="697" t="str">
        <f t="shared" si="19"/>
        <v>2410</v>
      </c>
      <c r="L216" s="698">
        <v>6331</v>
      </c>
      <c r="M216" s="697" t="str">
        <f t="shared" si="20"/>
        <v>000</v>
      </c>
      <c r="N216" s="276" t="s">
        <v>814</v>
      </c>
    </row>
    <row r="217" spans="1:14" x14ac:dyDescent="0.2">
      <c r="A217" s="270" t="s">
        <v>249</v>
      </c>
      <c r="B217" s="270" t="s">
        <v>310</v>
      </c>
      <c r="C217" s="270" t="s">
        <v>311</v>
      </c>
      <c r="D217" s="696" t="str">
        <f t="shared" si="8"/>
        <v>100-100-2410-6334-000-32-05</v>
      </c>
      <c r="E217" s="270" t="s">
        <v>312</v>
      </c>
      <c r="F217" s="696">
        <f t="shared" si="7"/>
        <v>2255</v>
      </c>
      <c r="G217" s="696">
        <f>VLOOKUP(L217,'Function-Grant'!$C:$AM,12,'Function-Grant'!$C:$AM)</f>
        <v>2255</v>
      </c>
      <c r="H217" s="271" t="s">
        <v>311</v>
      </c>
      <c r="J217" s="276" t="s">
        <v>267</v>
      </c>
      <c r="K217" s="697" t="str">
        <f t="shared" si="19"/>
        <v>2410</v>
      </c>
      <c r="L217" s="698">
        <v>6334</v>
      </c>
      <c r="M217" s="697" t="str">
        <f t="shared" si="20"/>
        <v>000</v>
      </c>
      <c r="N217" s="276" t="s">
        <v>814</v>
      </c>
    </row>
    <row r="218" spans="1:14" x14ac:dyDescent="0.2">
      <c r="A218" s="270" t="s">
        <v>249</v>
      </c>
      <c r="B218" s="270" t="s">
        <v>310</v>
      </c>
      <c r="C218" s="270" t="s">
        <v>311</v>
      </c>
      <c r="D218" s="696" t="str">
        <f t="shared" ref="D218" si="21">CONCATENATE("100-100-",K218,"-",L218,"-",M218,"-",N218)</f>
        <v>100-100-2410-6334-709-32-05</v>
      </c>
      <c r="E218" s="270" t="s">
        <v>312</v>
      </c>
      <c r="F218" s="696">
        <f t="shared" ref="F218" si="22">IFERROR(G218,0)</f>
        <v>2400</v>
      </c>
      <c r="G218" s="696">
        <f>VLOOKUP(L218,'Function-Grant'!$C:$AM,37,'Function-Grant'!$C:$AM)</f>
        <v>2400</v>
      </c>
      <c r="H218" s="271" t="s">
        <v>311</v>
      </c>
      <c r="J218" s="276" t="s">
        <v>618</v>
      </c>
      <c r="K218" s="697" t="str">
        <f t="shared" ref="K218" si="23">LEFT(J218,4)</f>
        <v>2410</v>
      </c>
      <c r="L218" s="698">
        <v>6334</v>
      </c>
      <c r="M218" s="697" t="str">
        <f t="shared" ref="M218" si="24">RIGHT(J218,3)</f>
        <v>709</v>
      </c>
      <c r="N218" s="276" t="s">
        <v>814</v>
      </c>
    </row>
    <row r="219" spans="1:14" x14ac:dyDescent="0.2">
      <c r="A219" s="270" t="s">
        <v>249</v>
      </c>
      <c r="B219" s="270" t="s">
        <v>310</v>
      </c>
      <c r="C219" s="270" t="s">
        <v>311</v>
      </c>
      <c r="D219" s="696" t="str">
        <f t="shared" si="8"/>
        <v>100-100-2410-6336-000-32-05</v>
      </c>
      <c r="E219" s="270" t="s">
        <v>312</v>
      </c>
      <c r="F219" s="696">
        <f t="shared" si="7"/>
        <v>0</v>
      </c>
      <c r="G219" s="696">
        <f>VLOOKUP(L219,'Function-Grant'!$C:$AM,12,'Function-Grant'!$C:$AM)</f>
        <v>0</v>
      </c>
      <c r="H219" s="271" t="s">
        <v>311</v>
      </c>
      <c r="J219" s="276" t="s">
        <v>267</v>
      </c>
      <c r="K219" s="697" t="str">
        <f t="shared" si="19"/>
        <v>2410</v>
      </c>
      <c r="L219" s="698">
        <v>6336</v>
      </c>
      <c r="M219" s="697" t="str">
        <f t="shared" si="20"/>
        <v>000</v>
      </c>
      <c r="N219" s="276" t="s">
        <v>814</v>
      </c>
    </row>
    <row r="220" spans="1:14" x14ac:dyDescent="0.2">
      <c r="A220" s="270" t="s">
        <v>249</v>
      </c>
      <c r="B220" s="270" t="s">
        <v>310</v>
      </c>
      <c r="C220" s="270" t="s">
        <v>311</v>
      </c>
      <c r="D220" s="696" t="str">
        <f t="shared" si="8"/>
        <v>100-100-2410-6337-000-32-05</v>
      </c>
      <c r="E220" s="270" t="s">
        <v>312</v>
      </c>
      <c r="F220" s="696">
        <f t="shared" si="7"/>
        <v>0</v>
      </c>
      <c r="G220" s="696">
        <f>VLOOKUP(L220,'Function-Grant'!$C:$AM,12,'Function-Grant'!$C:$AM)</f>
        <v>0</v>
      </c>
      <c r="H220" s="271" t="s">
        <v>311</v>
      </c>
      <c r="J220" s="276" t="s">
        <v>267</v>
      </c>
      <c r="K220" s="697" t="str">
        <f t="shared" si="19"/>
        <v>2410</v>
      </c>
      <c r="L220" s="698">
        <v>6337</v>
      </c>
      <c r="M220" s="697" t="str">
        <f t="shared" si="20"/>
        <v>000</v>
      </c>
      <c r="N220" s="276" t="s">
        <v>814</v>
      </c>
    </row>
    <row r="221" spans="1:14" x14ac:dyDescent="0.2">
      <c r="A221" s="270" t="s">
        <v>249</v>
      </c>
      <c r="B221" s="270" t="s">
        <v>310</v>
      </c>
      <c r="C221" s="270" t="s">
        <v>311</v>
      </c>
      <c r="D221" s="696" t="str">
        <f t="shared" si="8"/>
        <v>100-100-2410-6340-000-32-05</v>
      </c>
      <c r="E221" s="270" t="s">
        <v>312</v>
      </c>
      <c r="F221" s="696">
        <f t="shared" ref="F221:F285" si="25">IFERROR(G221,0)</f>
        <v>0</v>
      </c>
      <c r="G221" s="696">
        <f>VLOOKUP(L221,'Function-Grant'!$C:$AM,12,'Function-Grant'!$C:$AM)</f>
        <v>0</v>
      </c>
      <c r="H221" s="271" t="s">
        <v>311</v>
      </c>
      <c r="J221" s="276" t="s">
        <v>267</v>
      </c>
      <c r="K221" s="697" t="str">
        <f t="shared" si="19"/>
        <v>2410</v>
      </c>
      <c r="L221" s="698">
        <v>6340</v>
      </c>
      <c r="M221" s="697" t="str">
        <f t="shared" si="20"/>
        <v>000</v>
      </c>
      <c r="N221" s="276" t="s">
        <v>814</v>
      </c>
    </row>
    <row r="222" spans="1:14" x14ac:dyDescent="0.2">
      <c r="A222" s="270" t="s">
        <v>249</v>
      </c>
      <c r="B222" s="270" t="s">
        <v>310</v>
      </c>
      <c r="C222" s="270" t="s">
        <v>311</v>
      </c>
      <c r="D222" s="696" t="str">
        <f t="shared" si="8"/>
        <v>100-100-2410-6345-000-32-05</v>
      </c>
      <c r="E222" s="270" t="s">
        <v>312</v>
      </c>
      <c r="F222" s="696">
        <f t="shared" si="25"/>
        <v>0</v>
      </c>
      <c r="G222" s="696">
        <f>VLOOKUP(L222,'Function-Grant'!$C:$AM,12,'Function-Grant'!$C:$AM)</f>
        <v>0</v>
      </c>
      <c r="H222" s="271" t="s">
        <v>311</v>
      </c>
      <c r="J222" s="276" t="s">
        <v>267</v>
      </c>
      <c r="K222" s="697" t="str">
        <f t="shared" si="19"/>
        <v>2410</v>
      </c>
      <c r="L222" s="698">
        <v>6345</v>
      </c>
      <c r="M222" s="697" t="str">
        <f t="shared" si="20"/>
        <v>000</v>
      </c>
      <c r="N222" s="276" t="s">
        <v>814</v>
      </c>
    </row>
    <row r="223" spans="1:14" x14ac:dyDescent="0.2">
      <c r="A223" s="270" t="s">
        <v>249</v>
      </c>
      <c r="B223" s="270" t="s">
        <v>310</v>
      </c>
      <c r="C223" s="270" t="s">
        <v>311</v>
      </c>
      <c r="D223" s="696" t="str">
        <f t="shared" si="8"/>
        <v>100-100-2410-6350-000-32-05</v>
      </c>
      <c r="E223" s="270" t="s">
        <v>312</v>
      </c>
      <c r="F223" s="696">
        <f t="shared" si="25"/>
        <v>0</v>
      </c>
      <c r="G223" s="696">
        <f>VLOOKUP(L223,'Function-Grant'!$C:$AM,12,'Function-Grant'!$C:$AM)</f>
        <v>0</v>
      </c>
      <c r="H223" s="271" t="s">
        <v>311</v>
      </c>
      <c r="J223" s="276" t="s">
        <v>267</v>
      </c>
      <c r="K223" s="697" t="str">
        <f t="shared" si="19"/>
        <v>2410</v>
      </c>
      <c r="L223" s="698">
        <v>6350</v>
      </c>
      <c r="M223" s="697" t="str">
        <f t="shared" si="20"/>
        <v>000</v>
      </c>
      <c r="N223" s="276" t="s">
        <v>814</v>
      </c>
    </row>
    <row r="224" spans="1:14" x14ac:dyDescent="0.2">
      <c r="A224" s="270" t="s">
        <v>249</v>
      </c>
      <c r="B224" s="270" t="s">
        <v>310</v>
      </c>
      <c r="C224" s="270" t="s">
        <v>311</v>
      </c>
      <c r="D224" s="696" t="str">
        <f t="shared" si="8"/>
        <v>100-100-2410-6351-000-32-05</v>
      </c>
      <c r="E224" s="270" t="s">
        <v>312</v>
      </c>
      <c r="F224" s="696">
        <f t="shared" si="25"/>
        <v>0</v>
      </c>
      <c r="G224" s="696">
        <f>VLOOKUP(L224,'Function-Grant'!$C:$AM,12,'Function-Grant'!$C:$AM)</f>
        <v>0</v>
      </c>
      <c r="H224" s="271" t="s">
        <v>311</v>
      </c>
      <c r="J224" s="276" t="s">
        <v>267</v>
      </c>
      <c r="K224" s="697" t="str">
        <f t="shared" si="19"/>
        <v>2410</v>
      </c>
      <c r="L224" s="698">
        <v>6351</v>
      </c>
      <c r="M224" s="697" t="str">
        <f t="shared" si="20"/>
        <v>000</v>
      </c>
      <c r="N224" s="276" t="s">
        <v>814</v>
      </c>
    </row>
    <row r="225" spans="1:14" x14ac:dyDescent="0.2">
      <c r="A225" s="270" t="s">
        <v>249</v>
      </c>
      <c r="B225" s="270" t="s">
        <v>310</v>
      </c>
      <c r="C225" s="270" t="s">
        <v>311</v>
      </c>
      <c r="D225" s="696" t="str">
        <f t="shared" si="8"/>
        <v>100-100-2410-6410-000-32-05</v>
      </c>
      <c r="E225" s="270" t="s">
        <v>312</v>
      </c>
      <c r="F225" s="696">
        <f t="shared" si="25"/>
        <v>0</v>
      </c>
      <c r="G225" s="696">
        <f>VLOOKUP(L225,'Function-Grant'!$C:$AM,12,'Function-Grant'!$C:$AM)</f>
        <v>0</v>
      </c>
      <c r="H225" s="271" t="s">
        <v>311</v>
      </c>
      <c r="J225" s="276" t="s">
        <v>267</v>
      </c>
      <c r="K225" s="697" t="str">
        <f t="shared" si="19"/>
        <v>2410</v>
      </c>
      <c r="L225" s="698">
        <v>6410</v>
      </c>
      <c r="M225" s="697" t="str">
        <f t="shared" si="20"/>
        <v>000</v>
      </c>
      <c r="N225" s="276" t="s">
        <v>814</v>
      </c>
    </row>
    <row r="226" spans="1:14" x14ac:dyDescent="0.2">
      <c r="A226" s="270" t="s">
        <v>249</v>
      </c>
      <c r="B226" s="270" t="s">
        <v>310</v>
      </c>
      <c r="C226" s="270" t="s">
        <v>311</v>
      </c>
      <c r="D226" s="696" t="str">
        <f t="shared" si="8"/>
        <v>100-100-2410-6420-000-32-05</v>
      </c>
      <c r="E226" s="270" t="s">
        <v>312</v>
      </c>
      <c r="F226" s="696">
        <f t="shared" si="25"/>
        <v>0</v>
      </c>
      <c r="G226" s="696">
        <f>VLOOKUP(L226,'Function-Grant'!$C:$AM,12,'Function-Grant'!$C:$AM)</f>
        <v>0</v>
      </c>
      <c r="H226" s="271" t="s">
        <v>311</v>
      </c>
      <c r="J226" s="276" t="s">
        <v>267</v>
      </c>
      <c r="K226" s="697" t="str">
        <f t="shared" si="19"/>
        <v>2410</v>
      </c>
      <c r="L226" s="698">
        <v>6420</v>
      </c>
      <c r="M226" s="697" t="str">
        <f t="shared" si="20"/>
        <v>000</v>
      </c>
      <c r="N226" s="276" t="s">
        <v>814</v>
      </c>
    </row>
    <row r="227" spans="1:14" x14ac:dyDescent="0.2">
      <c r="A227" s="270" t="s">
        <v>249</v>
      </c>
      <c r="B227" s="270" t="s">
        <v>310</v>
      </c>
      <c r="C227" s="270" t="s">
        <v>311</v>
      </c>
      <c r="D227" s="696" t="str">
        <f t="shared" si="8"/>
        <v>100-100-2410-6430-000-32-05</v>
      </c>
      <c r="E227" s="270" t="s">
        <v>312</v>
      </c>
      <c r="F227" s="696">
        <f t="shared" si="25"/>
        <v>0</v>
      </c>
      <c r="G227" s="696">
        <f>VLOOKUP(L227,'Function-Grant'!$C:$AM,12,'Function-Grant'!$C:$AM)</f>
        <v>0</v>
      </c>
      <c r="H227" s="271" t="s">
        <v>311</v>
      </c>
      <c r="J227" s="276" t="s">
        <v>267</v>
      </c>
      <c r="K227" s="697" t="str">
        <f t="shared" si="19"/>
        <v>2410</v>
      </c>
      <c r="L227" s="698">
        <v>6430</v>
      </c>
      <c r="M227" s="697" t="str">
        <f t="shared" si="20"/>
        <v>000</v>
      </c>
      <c r="N227" s="276" t="s">
        <v>814</v>
      </c>
    </row>
    <row r="228" spans="1:14" x14ac:dyDescent="0.2">
      <c r="A228" s="270" t="s">
        <v>249</v>
      </c>
      <c r="B228" s="270" t="s">
        <v>310</v>
      </c>
      <c r="C228" s="270" t="s">
        <v>311</v>
      </c>
      <c r="D228" s="696" t="str">
        <f t="shared" si="8"/>
        <v>100-100-2410-6441-000-32-05</v>
      </c>
      <c r="E228" s="270" t="s">
        <v>312</v>
      </c>
      <c r="F228" s="696">
        <f t="shared" si="25"/>
        <v>0</v>
      </c>
      <c r="G228" s="696">
        <f>VLOOKUP(L228,'Function-Grant'!$C:$AM,12,'Function-Grant'!$C:$AM)</f>
        <v>0</v>
      </c>
      <c r="H228" s="271" t="s">
        <v>311</v>
      </c>
      <c r="J228" s="276" t="s">
        <v>267</v>
      </c>
      <c r="K228" s="697" t="str">
        <f t="shared" si="19"/>
        <v>2410</v>
      </c>
      <c r="L228" s="698">
        <v>6441</v>
      </c>
      <c r="M228" s="697" t="str">
        <f t="shared" si="20"/>
        <v>000</v>
      </c>
      <c r="N228" s="276" t="s">
        <v>814</v>
      </c>
    </row>
    <row r="229" spans="1:14" x14ac:dyDescent="0.2">
      <c r="A229" s="270" t="s">
        <v>249</v>
      </c>
      <c r="B229" s="270" t="s">
        <v>310</v>
      </c>
      <c r="C229" s="270" t="s">
        <v>311</v>
      </c>
      <c r="D229" s="696" t="str">
        <f t="shared" si="8"/>
        <v>100-100-2410-6519-000-32-05</v>
      </c>
      <c r="E229" s="270" t="s">
        <v>312</v>
      </c>
      <c r="F229" s="696">
        <f t="shared" si="25"/>
        <v>0</v>
      </c>
      <c r="G229" s="696">
        <f>VLOOKUP(L229,'Function-Grant'!$C:$AM,12,'Function-Grant'!$C:$AM)</f>
        <v>0</v>
      </c>
      <c r="H229" s="271" t="s">
        <v>311</v>
      </c>
      <c r="J229" s="276" t="s">
        <v>267</v>
      </c>
      <c r="K229" s="697" t="str">
        <f t="shared" si="19"/>
        <v>2410</v>
      </c>
      <c r="L229" s="698">
        <v>6519</v>
      </c>
      <c r="M229" s="697" t="str">
        <f t="shared" si="20"/>
        <v>000</v>
      </c>
      <c r="N229" s="276" t="s">
        <v>814</v>
      </c>
    </row>
    <row r="230" spans="1:14" x14ac:dyDescent="0.2">
      <c r="A230" s="270" t="s">
        <v>249</v>
      </c>
      <c r="B230" s="270" t="s">
        <v>310</v>
      </c>
      <c r="C230" s="270" t="s">
        <v>311</v>
      </c>
      <c r="D230" s="696" t="str">
        <f t="shared" si="8"/>
        <v>100-100-2410-6521-000-32-05</v>
      </c>
      <c r="E230" s="270" t="s">
        <v>312</v>
      </c>
      <c r="F230" s="696">
        <f t="shared" si="25"/>
        <v>0</v>
      </c>
      <c r="G230" s="696">
        <f>VLOOKUP(L230,'Function-Grant'!$C:$AM,12,'Function-Grant'!$C:$AM)</f>
        <v>0</v>
      </c>
      <c r="H230" s="271" t="s">
        <v>311</v>
      </c>
      <c r="J230" s="276" t="s">
        <v>267</v>
      </c>
      <c r="K230" s="697" t="str">
        <f t="shared" si="19"/>
        <v>2410</v>
      </c>
      <c r="L230" s="698">
        <v>6521</v>
      </c>
      <c r="M230" s="697" t="str">
        <f t="shared" si="20"/>
        <v>000</v>
      </c>
      <c r="N230" s="276" t="s">
        <v>814</v>
      </c>
    </row>
    <row r="231" spans="1:14" x14ac:dyDescent="0.2">
      <c r="A231" s="270" t="s">
        <v>249</v>
      </c>
      <c r="B231" s="270" t="s">
        <v>310</v>
      </c>
      <c r="C231" s="270" t="s">
        <v>311</v>
      </c>
      <c r="D231" s="696" t="str">
        <f t="shared" si="8"/>
        <v>100-100-2410-6522-000-32-05</v>
      </c>
      <c r="E231" s="270" t="s">
        <v>312</v>
      </c>
      <c r="F231" s="696">
        <f t="shared" si="25"/>
        <v>0</v>
      </c>
      <c r="G231" s="696">
        <f>VLOOKUP(L231,'Function-Grant'!$C:$AM,12,'Function-Grant'!$C:$AM)</f>
        <v>0</v>
      </c>
      <c r="H231" s="271" t="s">
        <v>311</v>
      </c>
      <c r="J231" s="276" t="s">
        <v>267</v>
      </c>
      <c r="K231" s="697" t="str">
        <f t="shared" si="19"/>
        <v>2410</v>
      </c>
      <c r="L231" s="698">
        <v>6522</v>
      </c>
      <c r="M231" s="697" t="str">
        <f t="shared" si="20"/>
        <v>000</v>
      </c>
      <c r="N231" s="276" t="s">
        <v>814</v>
      </c>
    </row>
    <row r="232" spans="1:14" x14ac:dyDescent="0.2">
      <c r="A232" s="270" t="s">
        <v>249</v>
      </c>
      <c r="B232" s="270" t="s">
        <v>310</v>
      </c>
      <c r="C232" s="270" t="s">
        <v>311</v>
      </c>
      <c r="D232" s="696" t="str">
        <f t="shared" ref="D232:D298" si="26">CONCATENATE("100-100-",K232,"-",L232,"-",M232,"-",N232)</f>
        <v>100-100-2410-6523-000-32-05</v>
      </c>
      <c r="E232" s="270" t="s">
        <v>312</v>
      </c>
      <c r="F232" s="696">
        <f t="shared" si="25"/>
        <v>0</v>
      </c>
      <c r="G232" s="696">
        <f>VLOOKUP(L232,'Function-Grant'!$C:$AM,12,'Function-Grant'!$C:$AM)</f>
        <v>0</v>
      </c>
      <c r="H232" s="271" t="s">
        <v>311</v>
      </c>
      <c r="J232" s="276" t="s">
        <v>267</v>
      </c>
      <c r="K232" s="697" t="str">
        <f t="shared" si="19"/>
        <v>2410</v>
      </c>
      <c r="L232" s="698">
        <v>6523</v>
      </c>
      <c r="M232" s="697" t="str">
        <f t="shared" si="20"/>
        <v>000</v>
      </c>
      <c r="N232" s="276" t="s">
        <v>814</v>
      </c>
    </row>
    <row r="233" spans="1:14" x14ac:dyDescent="0.2">
      <c r="A233" s="270" t="s">
        <v>249</v>
      </c>
      <c r="B233" s="270" t="s">
        <v>310</v>
      </c>
      <c r="C233" s="270" t="s">
        <v>311</v>
      </c>
      <c r="D233" s="696" t="str">
        <f t="shared" si="26"/>
        <v>100-100-2410-6531-000-32-05</v>
      </c>
      <c r="E233" s="270" t="s">
        <v>312</v>
      </c>
      <c r="F233" s="696">
        <f t="shared" si="25"/>
        <v>0</v>
      </c>
      <c r="G233" s="696">
        <f>VLOOKUP(L233,'Function-Grant'!$C:$AM,12,'Function-Grant'!$C:$AM)</f>
        <v>0</v>
      </c>
      <c r="H233" s="271" t="s">
        <v>311</v>
      </c>
      <c r="J233" s="276" t="s">
        <v>267</v>
      </c>
      <c r="K233" s="697" t="str">
        <f t="shared" si="19"/>
        <v>2410</v>
      </c>
      <c r="L233" s="698">
        <v>6531</v>
      </c>
      <c r="M233" s="697" t="str">
        <f t="shared" si="20"/>
        <v>000</v>
      </c>
      <c r="N233" s="276" t="s">
        <v>814</v>
      </c>
    </row>
    <row r="234" spans="1:14" x14ac:dyDescent="0.2">
      <c r="A234" s="270" t="s">
        <v>249</v>
      </c>
      <c r="B234" s="270" t="s">
        <v>310</v>
      </c>
      <c r="C234" s="270" t="s">
        <v>311</v>
      </c>
      <c r="D234" s="696" t="str">
        <f t="shared" si="26"/>
        <v>100-100-2410-6534-000-32-05</v>
      </c>
      <c r="E234" s="270" t="s">
        <v>312</v>
      </c>
      <c r="F234" s="696">
        <f t="shared" si="25"/>
        <v>0</v>
      </c>
      <c r="G234" s="696">
        <f>VLOOKUP(L234,'Function-Grant'!$C:$AM,12,'Function-Grant'!$C:$AM)</f>
        <v>0</v>
      </c>
      <c r="H234" s="271" t="s">
        <v>311</v>
      </c>
      <c r="J234" s="276" t="s">
        <v>267</v>
      </c>
      <c r="K234" s="697" t="str">
        <f t="shared" si="19"/>
        <v>2410</v>
      </c>
      <c r="L234" s="698">
        <v>6534</v>
      </c>
      <c r="M234" s="697" t="str">
        <f t="shared" si="20"/>
        <v>000</v>
      </c>
      <c r="N234" s="276" t="s">
        <v>814</v>
      </c>
    </row>
    <row r="235" spans="1:14" x14ac:dyDescent="0.2">
      <c r="A235" s="270" t="s">
        <v>249</v>
      </c>
      <c r="B235" s="270" t="s">
        <v>310</v>
      </c>
      <c r="C235" s="270" t="s">
        <v>311</v>
      </c>
      <c r="D235" s="696" t="str">
        <f t="shared" si="26"/>
        <v>100-100-2410-6535-000-32-05</v>
      </c>
      <c r="E235" s="270" t="s">
        <v>312</v>
      </c>
      <c r="F235" s="696">
        <f t="shared" si="25"/>
        <v>0</v>
      </c>
      <c r="G235" s="696">
        <f>VLOOKUP(L235,'Function-Grant'!$C:$AM,12,'Function-Grant'!$C:$AM)</f>
        <v>0</v>
      </c>
      <c r="H235" s="271" t="s">
        <v>311</v>
      </c>
      <c r="J235" s="276" t="s">
        <v>267</v>
      </c>
      <c r="K235" s="697" t="str">
        <f t="shared" si="19"/>
        <v>2410</v>
      </c>
      <c r="L235" s="698">
        <v>6535</v>
      </c>
      <c r="M235" s="697" t="str">
        <f t="shared" si="20"/>
        <v>000</v>
      </c>
      <c r="N235" s="276" t="s">
        <v>814</v>
      </c>
    </row>
    <row r="236" spans="1:14" x14ac:dyDescent="0.2">
      <c r="A236" s="270" t="s">
        <v>249</v>
      </c>
      <c r="B236" s="270" t="s">
        <v>310</v>
      </c>
      <c r="C236" s="270" t="s">
        <v>311</v>
      </c>
      <c r="D236" s="696" t="str">
        <f t="shared" si="26"/>
        <v>100-100-2410-6540-000-32-05</v>
      </c>
      <c r="E236" s="270" t="s">
        <v>312</v>
      </c>
      <c r="F236" s="696">
        <f t="shared" si="25"/>
        <v>0</v>
      </c>
      <c r="G236" s="696">
        <f>VLOOKUP(L236,'Function-Grant'!$C:$AM,12,'Function-Grant'!$C:$AM)</f>
        <v>0</v>
      </c>
      <c r="H236" s="271" t="s">
        <v>311</v>
      </c>
      <c r="J236" s="276" t="s">
        <v>267</v>
      </c>
      <c r="K236" s="697" t="str">
        <f t="shared" si="19"/>
        <v>2410</v>
      </c>
      <c r="L236" s="698">
        <v>6540</v>
      </c>
      <c r="M236" s="697" t="str">
        <f t="shared" si="20"/>
        <v>000</v>
      </c>
      <c r="N236" s="276" t="s">
        <v>814</v>
      </c>
    </row>
    <row r="237" spans="1:14" x14ac:dyDescent="0.2">
      <c r="A237" s="270" t="s">
        <v>249</v>
      </c>
      <c r="B237" s="270" t="s">
        <v>310</v>
      </c>
      <c r="C237" s="270" t="s">
        <v>311</v>
      </c>
      <c r="D237" s="696" t="str">
        <f t="shared" si="26"/>
        <v>100-100-2410-6550-000-32-05</v>
      </c>
      <c r="E237" s="270" t="s">
        <v>312</v>
      </c>
      <c r="F237" s="696">
        <f t="shared" si="25"/>
        <v>0</v>
      </c>
      <c r="G237" s="696">
        <f>VLOOKUP(L237,'Function-Grant'!$C:$AM,12,'Function-Grant'!$C:$AM)</f>
        <v>0</v>
      </c>
      <c r="H237" s="271" t="s">
        <v>311</v>
      </c>
      <c r="J237" s="276" t="s">
        <v>267</v>
      </c>
      <c r="K237" s="697" t="str">
        <f t="shared" si="19"/>
        <v>2410</v>
      </c>
      <c r="L237" s="698">
        <v>6550</v>
      </c>
      <c r="M237" s="697" t="str">
        <f t="shared" si="20"/>
        <v>000</v>
      </c>
      <c r="N237" s="276" t="s">
        <v>814</v>
      </c>
    </row>
    <row r="238" spans="1:14" x14ac:dyDescent="0.2">
      <c r="A238" s="270" t="s">
        <v>249</v>
      </c>
      <c r="B238" s="270" t="s">
        <v>310</v>
      </c>
      <c r="C238" s="270" t="s">
        <v>311</v>
      </c>
      <c r="D238" s="696" t="str">
        <f t="shared" si="26"/>
        <v>100-100-2410-6568-000-32-05</v>
      </c>
      <c r="E238" s="270" t="s">
        <v>312</v>
      </c>
      <c r="F238" s="696">
        <f t="shared" si="25"/>
        <v>0</v>
      </c>
      <c r="G238" s="696">
        <f>VLOOKUP(L238,'Function-Grant'!$C:$AM,12,'Function-Grant'!$C:$AM)</f>
        <v>0</v>
      </c>
      <c r="H238" s="271" t="s">
        <v>311</v>
      </c>
      <c r="J238" s="276" t="s">
        <v>267</v>
      </c>
      <c r="K238" s="697" t="str">
        <f t="shared" si="19"/>
        <v>2410</v>
      </c>
      <c r="L238" s="698">
        <v>6568</v>
      </c>
      <c r="M238" s="697" t="str">
        <f t="shared" si="20"/>
        <v>000</v>
      </c>
      <c r="N238" s="276" t="s">
        <v>814</v>
      </c>
    </row>
    <row r="239" spans="1:14" x14ac:dyDescent="0.2">
      <c r="A239" s="270" t="s">
        <v>249</v>
      </c>
      <c r="B239" s="270" t="s">
        <v>310</v>
      </c>
      <c r="C239" s="270" t="s">
        <v>311</v>
      </c>
      <c r="D239" s="696" t="str">
        <f t="shared" si="26"/>
        <v>100-100-2410-6569-000-32-05</v>
      </c>
      <c r="E239" s="270" t="s">
        <v>312</v>
      </c>
      <c r="F239" s="696">
        <f t="shared" si="25"/>
        <v>0</v>
      </c>
      <c r="G239" s="696">
        <f>VLOOKUP(L239,'Function-Grant'!$C:$AM,12,'Function-Grant'!$C:$AM)</f>
        <v>0</v>
      </c>
      <c r="H239" s="271" t="s">
        <v>311</v>
      </c>
      <c r="J239" s="276" t="s">
        <v>267</v>
      </c>
      <c r="K239" s="697" t="str">
        <f t="shared" si="19"/>
        <v>2410</v>
      </c>
      <c r="L239" s="698">
        <v>6569</v>
      </c>
      <c r="M239" s="697" t="str">
        <f t="shared" si="20"/>
        <v>000</v>
      </c>
      <c r="N239" s="276" t="s">
        <v>814</v>
      </c>
    </row>
    <row r="240" spans="1:14" x14ac:dyDescent="0.2">
      <c r="A240" s="270" t="s">
        <v>249</v>
      </c>
      <c r="B240" s="270" t="s">
        <v>310</v>
      </c>
      <c r="C240" s="270" t="s">
        <v>311</v>
      </c>
      <c r="D240" s="696" t="str">
        <f t="shared" si="26"/>
        <v>100-100-2410-6580-000-32-05</v>
      </c>
      <c r="E240" s="270" t="s">
        <v>312</v>
      </c>
      <c r="F240" s="696">
        <f t="shared" si="25"/>
        <v>4400</v>
      </c>
      <c r="G240" s="696">
        <f>VLOOKUP(L240,'Function-Grant'!$C:$AM,12,'Function-Grant'!$C:$AM)</f>
        <v>4400</v>
      </c>
      <c r="H240" s="271" t="s">
        <v>311</v>
      </c>
      <c r="J240" s="276" t="s">
        <v>267</v>
      </c>
      <c r="K240" s="697" t="str">
        <f t="shared" si="19"/>
        <v>2410</v>
      </c>
      <c r="L240" s="698">
        <v>6580</v>
      </c>
      <c r="M240" s="697" t="str">
        <f t="shared" si="20"/>
        <v>000</v>
      </c>
      <c r="N240" s="276" t="s">
        <v>814</v>
      </c>
    </row>
    <row r="241" spans="1:14" x14ac:dyDescent="0.2">
      <c r="A241" s="270" t="s">
        <v>249</v>
      </c>
      <c r="B241" s="270" t="s">
        <v>310</v>
      </c>
      <c r="C241" s="270" t="s">
        <v>311</v>
      </c>
      <c r="D241" s="696" t="str">
        <f t="shared" si="26"/>
        <v>100-100-2410-6610-000-32-05</v>
      </c>
      <c r="E241" s="270" t="s">
        <v>312</v>
      </c>
      <c r="F241" s="696">
        <f t="shared" si="25"/>
        <v>4200</v>
      </c>
      <c r="G241" s="696">
        <f>VLOOKUP(L241,'Function-Grant'!$C:$AM,12,'Function-Grant'!$C:$AM)</f>
        <v>4200</v>
      </c>
      <c r="H241" s="271" t="s">
        <v>311</v>
      </c>
      <c r="J241" s="276" t="s">
        <v>267</v>
      </c>
      <c r="K241" s="697" t="str">
        <f t="shared" si="19"/>
        <v>2410</v>
      </c>
      <c r="L241" s="698">
        <v>6610</v>
      </c>
      <c r="M241" s="697" t="str">
        <f t="shared" si="20"/>
        <v>000</v>
      </c>
      <c r="N241" s="276" t="s">
        <v>814</v>
      </c>
    </row>
    <row r="242" spans="1:14" x14ac:dyDescent="0.2">
      <c r="A242" s="270" t="s">
        <v>249</v>
      </c>
      <c r="B242" s="270" t="s">
        <v>310</v>
      </c>
      <c r="C242" s="270" t="s">
        <v>311</v>
      </c>
      <c r="D242" s="696" t="str">
        <f t="shared" si="26"/>
        <v>100-100-2410-6612-000-32-05</v>
      </c>
      <c r="E242" s="270" t="s">
        <v>312</v>
      </c>
      <c r="F242" s="696">
        <f t="shared" si="25"/>
        <v>0</v>
      </c>
      <c r="G242" s="696">
        <f>VLOOKUP(L242,'Function-Grant'!$C:$AM,12,'Function-Grant'!$C:$AM)</f>
        <v>0</v>
      </c>
      <c r="H242" s="271" t="s">
        <v>311</v>
      </c>
      <c r="J242" s="276" t="s">
        <v>267</v>
      </c>
      <c r="K242" s="697" t="str">
        <f t="shared" si="19"/>
        <v>2410</v>
      </c>
      <c r="L242" s="698">
        <v>6612</v>
      </c>
      <c r="M242" s="697" t="str">
        <f t="shared" si="20"/>
        <v>000</v>
      </c>
      <c r="N242" s="276" t="s">
        <v>814</v>
      </c>
    </row>
    <row r="243" spans="1:14" x14ac:dyDescent="0.2">
      <c r="A243" s="270" t="s">
        <v>249</v>
      </c>
      <c r="B243" s="270" t="s">
        <v>310</v>
      </c>
      <c r="C243" s="270" t="s">
        <v>311</v>
      </c>
      <c r="D243" s="696" t="str">
        <f t="shared" si="26"/>
        <v>100-100-2410-6622-000-32-05</v>
      </c>
      <c r="E243" s="270" t="s">
        <v>312</v>
      </c>
      <c r="F243" s="696">
        <f t="shared" si="25"/>
        <v>0</v>
      </c>
      <c r="G243" s="696">
        <f>VLOOKUP(L243,'Function-Grant'!$C:$AM,12,'Function-Grant'!$C:$AM)</f>
        <v>0</v>
      </c>
      <c r="H243" s="271" t="s">
        <v>311</v>
      </c>
      <c r="J243" s="276" t="s">
        <v>267</v>
      </c>
      <c r="K243" s="697" t="str">
        <f t="shared" si="19"/>
        <v>2410</v>
      </c>
      <c r="L243" s="698">
        <v>6622</v>
      </c>
      <c r="M243" s="697" t="str">
        <f t="shared" si="20"/>
        <v>000</v>
      </c>
      <c r="N243" s="276" t="s">
        <v>814</v>
      </c>
    </row>
    <row r="244" spans="1:14" x14ac:dyDescent="0.2">
      <c r="A244" s="270" t="s">
        <v>249</v>
      </c>
      <c r="B244" s="270" t="s">
        <v>310</v>
      </c>
      <c r="C244" s="270" t="s">
        <v>311</v>
      </c>
      <c r="D244" s="696" t="str">
        <f t="shared" si="26"/>
        <v>100-100-2410-6641-000-32-05</v>
      </c>
      <c r="E244" s="270" t="s">
        <v>312</v>
      </c>
      <c r="F244" s="696">
        <f t="shared" si="25"/>
        <v>0</v>
      </c>
      <c r="G244" s="696">
        <f>VLOOKUP(L244,'Function-Grant'!$C:$AM,12,'Function-Grant'!$C:$AM)</f>
        <v>0</v>
      </c>
      <c r="H244" s="271" t="s">
        <v>311</v>
      </c>
      <c r="J244" s="276" t="s">
        <v>267</v>
      </c>
      <c r="K244" s="697" t="str">
        <f t="shared" si="19"/>
        <v>2410</v>
      </c>
      <c r="L244" s="698">
        <v>6641</v>
      </c>
      <c r="M244" s="697" t="str">
        <f t="shared" si="20"/>
        <v>000</v>
      </c>
      <c r="N244" s="276" t="s">
        <v>814</v>
      </c>
    </row>
    <row r="245" spans="1:14" x14ac:dyDescent="0.2">
      <c r="A245" s="270" t="s">
        <v>249</v>
      </c>
      <c r="B245" s="270" t="s">
        <v>310</v>
      </c>
      <c r="C245" s="270" t="s">
        <v>311</v>
      </c>
      <c r="D245" s="696" t="str">
        <f t="shared" si="26"/>
        <v>100-100-2410-6642-000-32-05</v>
      </c>
      <c r="E245" s="270" t="s">
        <v>312</v>
      </c>
      <c r="F245" s="696">
        <f t="shared" si="25"/>
        <v>0</v>
      </c>
      <c r="G245" s="696">
        <f>VLOOKUP(L245,'Function-Grant'!$C:$AM,12,'Function-Grant'!$C:$AM)</f>
        <v>0</v>
      </c>
      <c r="H245" s="271" t="s">
        <v>311</v>
      </c>
      <c r="J245" s="276" t="s">
        <v>267</v>
      </c>
      <c r="K245" s="697" t="str">
        <f t="shared" si="19"/>
        <v>2410</v>
      </c>
      <c r="L245" s="698">
        <v>6642</v>
      </c>
      <c r="M245" s="697" t="str">
        <f t="shared" si="20"/>
        <v>000</v>
      </c>
      <c r="N245" s="276" t="s">
        <v>814</v>
      </c>
    </row>
    <row r="246" spans="1:14" x14ac:dyDescent="0.2">
      <c r="A246" s="270" t="s">
        <v>249</v>
      </c>
      <c r="B246" s="270" t="s">
        <v>310</v>
      </c>
      <c r="C246" s="270" t="s">
        <v>311</v>
      </c>
      <c r="D246" s="696" t="str">
        <f t="shared" si="26"/>
        <v>100-100-2410-6651-000-32-05</v>
      </c>
      <c r="E246" s="270" t="s">
        <v>312</v>
      </c>
      <c r="F246" s="696">
        <f t="shared" si="25"/>
        <v>0</v>
      </c>
      <c r="G246" s="696">
        <f>VLOOKUP(L246,'Function-Grant'!$C:$AM,12,'Function-Grant'!$C:$AM)</f>
        <v>0</v>
      </c>
      <c r="H246" s="271" t="s">
        <v>311</v>
      </c>
      <c r="J246" s="276" t="s">
        <v>267</v>
      </c>
      <c r="K246" s="697" t="str">
        <f t="shared" si="19"/>
        <v>2410</v>
      </c>
      <c r="L246" s="698">
        <v>6651</v>
      </c>
      <c r="M246" s="697" t="str">
        <f t="shared" si="20"/>
        <v>000</v>
      </c>
      <c r="N246" s="276" t="s">
        <v>814</v>
      </c>
    </row>
    <row r="247" spans="1:14" x14ac:dyDescent="0.2">
      <c r="A247" s="270" t="s">
        <v>249</v>
      </c>
      <c r="B247" s="270" t="s">
        <v>310</v>
      </c>
      <c r="C247" s="270" t="s">
        <v>311</v>
      </c>
      <c r="D247" s="696" t="str">
        <f t="shared" si="26"/>
        <v>100-100-2410-6734-000-32-05</v>
      </c>
      <c r="E247" s="270" t="s">
        <v>312</v>
      </c>
      <c r="F247" s="696">
        <f t="shared" si="25"/>
        <v>0</v>
      </c>
      <c r="G247" s="696">
        <f>VLOOKUP(L247,'Function-Grant'!$C:$AM,12,'Function-Grant'!$C:$AM)</f>
        <v>0</v>
      </c>
      <c r="H247" s="271" t="s">
        <v>311</v>
      </c>
      <c r="J247" s="276" t="s">
        <v>267</v>
      </c>
      <c r="K247" s="697" t="str">
        <f t="shared" si="19"/>
        <v>2410</v>
      </c>
      <c r="L247" s="698">
        <v>6734</v>
      </c>
      <c r="M247" s="697" t="str">
        <f t="shared" si="20"/>
        <v>000</v>
      </c>
      <c r="N247" s="276" t="s">
        <v>814</v>
      </c>
    </row>
    <row r="248" spans="1:14" x14ac:dyDescent="0.2">
      <c r="A248" s="270" t="s">
        <v>249</v>
      </c>
      <c r="B248" s="270" t="s">
        <v>310</v>
      </c>
      <c r="C248" s="270" t="s">
        <v>311</v>
      </c>
      <c r="D248" s="696" t="str">
        <f t="shared" si="26"/>
        <v>100-100-2410-6810-000-32-05</v>
      </c>
      <c r="E248" s="270" t="s">
        <v>312</v>
      </c>
      <c r="F248" s="696">
        <f t="shared" si="25"/>
        <v>0</v>
      </c>
      <c r="G248" s="696">
        <f>VLOOKUP(L248,'Function-Grant'!$C:$AM,12,'Function-Grant'!$C:$AM)</f>
        <v>0</v>
      </c>
      <c r="H248" s="271" t="s">
        <v>311</v>
      </c>
      <c r="J248" s="276" t="s">
        <v>267</v>
      </c>
      <c r="K248" s="697" t="str">
        <f t="shared" si="19"/>
        <v>2410</v>
      </c>
      <c r="L248" s="698">
        <v>6810</v>
      </c>
      <c r="M248" s="697" t="str">
        <f t="shared" si="20"/>
        <v>000</v>
      </c>
      <c r="N248" s="276" t="s">
        <v>814</v>
      </c>
    </row>
    <row r="249" spans="1:14" x14ac:dyDescent="0.2">
      <c r="A249" s="270" t="s">
        <v>249</v>
      </c>
      <c r="B249" s="270" t="s">
        <v>310</v>
      </c>
      <c r="C249" s="270" t="s">
        <v>311</v>
      </c>
      <c r="D249" s="696" t="str">
        <f t="shared" si="26"/>
        <v>100-100-2410-7306-000-32-05</v>
      </c>
      <c r="E249" s="270" t="s">
        <v>312</v>
      </c>
      <c r="F249" s="696">
        <f t="shared" si="25"/>
        <v>0</v>
      </c>
      <c r="G249" s="696">
        <f>VLOOKUP(L249,'Function-Grant'!$C:$AM,12,'Function-Grant'!$C:$AM)</f>
        <v>0</v>
      </c>
      <c r="H249" s="271" t="s">
        <v>311</v>
      </c>
      <c r="J249" s="276" t="s">
        <v>267</v>
      </c>
      <c r="K249" s="697" t="str">
        <f t="shared" si="19"/>
        <v>2410</v>
      </c>
      <c r="L249" s="698">
        <v>7306</v>
      </c>
      <c r="M249" s="697" t="str">
        <f t="shared" si="20"/>
        <v>000</v>
      </c>
      <c r="N249" s="276" t="s">
        <v>814</v>
      </c>
    </row>
    <row r="250" spans="1:14" x14ac:dyDescent="0.2">
      <c r="A250" s="270" t="s">
        <v>249</v>
      </c>
      <c r="B250" s="270" t="s">
        <v>310</v>
      </c>
      <c r="C250" s="270" t="s">
        <v>311</v>
      </c>
      <c r="D250" s="696" t="str">
        <f t="shared" si="26"/>
        <v>100-100-2500--000-32-05</v>
      </c>
      <c r="H250" s="271" t="s">
        <v>311</v>
      </c>
      <c r="J250" s="276" t="s">
        <v>268</v>
      </c>
      <c r="K250" s="697" t="str">
        <f t="shared" si="19"/>
        <v>2500</v>
      </c>
      <c r="M250" s="697" t="str">
        <f t="shared" si="20"/>
        <v>000</v>
      </c>
      <c r="N250" s="276" t="s">
        <v>814</v>
      </c>
    </row>
    <row r="251" spans="1:14" x14ac:dyDescent="0.2">
      <c r="A251" s="270" t="s">
        <v>249</v>
      </c>
      <c r="B251" s="270" t="s">
        <v>310</v>
      </c>
      <c r="C251" s="270" t="s">
        <v>311</v>
      </c>
      <c r="D251" s="696" t="str">
        <f t="shared" si="26"/>
        <v>100-100-2500-6111-000-32-05</v>
      </c>
      <c r="E251" s="270" t="s">
        <v>312</v>
      </c>
      <c r="F251" s="696">
        <f t="shared" si="25"/>
        <v>0</v>
      </c>
      <c r="G251" s="696">
        <f>VLOOKUP(L251,'Function-Grant'!$C:$AM,13,'Function-Grant'!$C:$AM)</f>
        <v>0</v>
      </c>
      <c r="H251" s="271" t="s">
        <v>311</v>
      </c>
      <c r="J251" s="276" t="s">
        <v>268</v>
      </c>
      <c r="K251" s="697" t="str">
        <f t="shared" si="19"/>
        <v>2500</v>
      </c>
      <c r="L251" s="698">
        <v>6111</v>
      </c>
      <c r="M251" s="697" t="str">
        <f t="shared" si="20"/>
        <v>000</v>
      </c>
      <c r="N251" s="276" t="s">
        <v>814</v>
      </c>
    </row>
    <row r="252" spans="1:14" x14ac:dyDescent="0.2">
      <c r="A252" s="270" t="s">
        <v>249</v>
      </c>
      <c r="B252" s="270" t="s">
        <v>310</v>
      </c>
      <c r="C252" s="270" t="s">
        <v>311</v>
      </c>
      <c r="D252" s="696" t="str">
        <f t="shared" si="26"/>
        <v>100-100-2500-6114-000-32-05</v>
      </c>
      <c r="E252" s="270" t="s">
        <v>312</v>
      </c>
      <c r="F252" s="696">
        <f t="shared" si="25"/>
        <v>0</v>
      </c>
      <c r="G252" s="696">
        <f>VLOOKUP(L252,'Function-Grant'!$C:$AM,13,'Function-Grant'!$C:$AM)</f>
        <v>0</v>
      </c>
      <c r="H252" s="271" t="s">
        <v>311</v>
      </c>
      <c r="J252" s="276" t="s">
        <v>268</v>
      </c>
      <c r="K252" s="697" t="str">
        <f t="shared" si="19"/>
        <v>2500</v>
      </c>
      <c r="L252" s="698">
        <v>6114</v>
      </c>
      <c r="M252" s="697" t="str">
        <f t="shared" si="20"/>
        <v>000</v>
      </c>
      <c r="N252" s="276" t="s">
        <v>814</v>
      </c>
    </row>
    <row r="253" spans="1:14" x14ac:dyDescent="0.2">
      <c r="A253" s="270" t="s">
        <v>249</v>
      </c>
      <c r="B253" s="270" t="s">
        <v>310</v>
      </c>
      <c r="C253" s="270" t="s">
        <v>311</v>
      </c>
      <c r="D253" s="696" t="str">
        <f t="shared" si="26"/>
        <v>100-100-2500-6117-000-32-05</v>
      </c>
      <c r="E253" s="270" t="s">
        <v>312</v>
      </c>
      <c r="F253" s="696">
        <f t="shared" si="25"/>
        <v>585797.28899999999</v>
      </c>
      <c r="G253" s="696">
        <f>VLOOKUP(L253,'Function-Grant'!$C:$AM,13,'Function-Grant'!$C:$AM)</f>
        <v>585797.28899999999</v>
      </c>
      <c r="H253" s="271" t="s">
        <v>311</v>
      </c>
      <c r="J253" s="276" t="s">
        <v>268</v>
      </c>
      <c r="K253" s="697" t="str">
        <f t="shared" si="19"/>
        <v>2500</v>
      </c>
      <c r="L253" s="698">
        <v>6117</v>
      </c>
      <c r="M253" s="697" t="str">
        <f t="shared" si="20"/>
        <v>000</v>
      </c>
      <c r="N253" s="276" t="s">
        <v>814</v>
      </c>
    </row>
    <row r="254" spans="1:14" x14ac:dyDescent="0.2">
      <c r="A254" s="270" t="s">
        <v>249</v>
      </c>
      <c r="B254" s="270" t="s">
        <v>310</v>
      </c>
      <c r="C254" s="270" t="s">
        <v>311</v>
      </c>
      <c r="D254" s="696" t="str">
        <f t="shared" si="26"/>
        <v>100-100-2500-6122-000-32-05</v>
      </c>
      <c r="E254" s="270" t="s">
        <v>312</v>
      </c>
      <c r="F254" s="696">
        <f t="shared" si="25"/>
        <v>0</v>
      </c>
      <c r="G254" s="696" t="e">
        <f>VLOOKUP(L254,'Function-Grant'!$C:$AM,13,'Function-Grant'!$C:$AM)</f>
        <v>#N/A</v>
      </c>
      <c r="H254" s="271" t="s">
        <v>311</v>
      </c>
      <c r="J254" s="276" t="s">
        <v>268</v>
      </c>
      <c r="K254" s="697" t="str">
        <f t="shared" si="19"/>
        <v>2500</v>
      </c>
      <c r="L254" s="698">
        <v>6122</v>
      </c>
      <c r="M254" s="697" t="str">
        <f t="shared" si="20"/>
        <v>000</v>
      </c>
      <c r="N254" s="276" t="s">
        <v>814</v>
      </c>
    </row>
    <row r="255" spans="1:14" x14ac:dyDescent="0.2">
      <c r="A255" s="270" t="s">
        <v>249</v>
      </c>
      <c r="B255" s="270" t="s">
        <v>310</v>
      </c>
      <c r="C255" s="270" t="s">
        <v>311</v>
      </c>
      <c r="D255" s="696" t="str">
        <f t="shared" si="26"/>
        <v>100-100-2500-6127-000-32-05</v>
      </c>
      <c r="E255" s="270" t="s">
        <v>312</v>
      </c>
      <c r="F255" s="696">
        <f t="shared" si="25"/>
        <v>35360.000000000007</v>
      </c>
      <c r="G255" s="696">
        <f>VLOOKUP(L255,'Function-Grant'!$C:$AM,13,'Function-Grant'!$C:$AM)</f>
        <v>35360.000000000007</v>
      </c>
      <c r="H255" s="271" t="s">
        <v>311</v>
      </c>
      <c r="J255" s="276" t="s">
        <v>268</v>
      </c>
      <c r="K255" s="697" t="str">
        <f t="shared" si="19"/>
        <v>2500</v>
      </c>
      <c r="L255" s="698">
        <v>6127</v>
      </c>
      <c r="M255" s="697" t="str">
        <f t="shared" si="20"/>
        <v>000</v>
      </c>
      <c r="N255" s="276" t="s">
        <v>814</v>
      </c>
    </row>
    <row r="256" spans="1:14" x14ac:dyDescent="0.2">
      <c r="A256" s="270" t="s">
        <v>249</v>
      </c>
      <c r="B256" s="270" t="s">
        <v>310</v>
      </c>
      <c r="C256" s="270" t="s">
        <v>311</v>
      </c>
      <c r="D256" s="696" t="str">
        <f t="shared" si="26"/>
        <v>100-100-2500-6151-000-32-05</v>
      </c>
      <c r="E256" s="270" t="s">
        <v>312</v>
      </c>
      <c r="F256" s="696">
        <f t="shared" si="25"/>
        <v>0</v>
      </c>
      <c r="G256" s="696">
        <f>VLOOKUP(L256,'Function-Grant'!$C:$AM,13,'Function-Grant'!$C:$AM)</f>
        <v>0</v>
      </c>
      <c r="H256" s="271" t="s">
        <v>311</v>
      </c>
      <c r="J256" s="276" t="s">
        <v>268</v>
      </c>
      <c r="K256" s="697" t="str">
        <f t="shared" si="19"/>
        <v>2500</v>
      </c>
      <c r="L256" s="698">
        <v>6151</v>
      </c>
      <c r="M256" s="697" t="str">
        <f t="shared" si="20"/>
        <v>000</v>
      </c>
      <c r="N256" s="276" t="s">
        <v>814</v>
      </c>
    </row>
    <row r="257" spans="1:14" x14ac:dyDescent="0.2">
      <c r="A257" s="270" t="s">
        <v>249</v>
      </c>
      <c r="B257" s="270" t="s">
        <v>310</v>
      </c>
      <c r="C257" s="270" t="s">
        <v>311</v>
      </c>
      <c r="D257" s="696" t="str">
        <f t="shared" si="26"/>
        <v>100-100-2500-6154-000-32-05</v>
      </c>
      <c r="E257" s="270" t="s">
        <v>312</v>
      </c>
      <c r="F257" s="696">
        <f t="shared" si="25"/>
        <v>0</v>
      </c>
      <c r="G257" s="696">
        <f>VLOOKUP(L257,'Function-Grant'!$C:$AM,13,'Function-Grant'!$C:$AM)</f>
        <v>0</v>
      </c>
      <c r="H257" s="271" t="s">
        <v>311</v>
      </c>
      <c r="J257" s="276" t="s">
        <v>268</v>
      </c>
      <c r="K257" s="697" t="str">
        <f t="shared" si="19"/>
        <v>2500</v>
      </c>
      <c r="L257" s="698">
        <v>6154</v>
      </c>
      <c r="M257" s="697" t="str">
        <f t="shared" si="20"/>
        <v>000</v>
      </c>
      <c r="N257" s="276" t="s">
        <v>814</v>
      </c>
    </row>
    <row r="258" spans="1:14" x14ac:dyDescent="0.2">
      <c r="A258" s="270" t="s">
        <v>249</v>
      </c>
      <c r="B258" s="270" t="s">
        <v>310</v>
      </c>
      <c r="C258" s="270" t="s">
        <v>311</v>
      </c>
      <c r="D258" s="696" t="str">
        <f t="shared" si="26"/>
        <v>100-100-2500-6157-000-32-05</v>
      </c>
      <c r="E258" s="270" t="s">
        <v>312</v>
      </c>
      <c r="F258" s="696">
        <f t="shared" si="25"/>
        <v>35208</v>
      </c>
      <c r="G258" s="696">
        <f>VLOOKUP(L258,'Function-Grant'!$C:$AM,13,'Function-Grant'!$C:$AM)</f>
        <v>35208</v>
      </c>
      <c r="H258" s="271" t="s">
        <v>311</v>
      </c>
      <c r="J258" s="276" t="s">
        <v>268</v>
      </c>
      <c r="K258" s="697" t="str">
        <f t="shared" si="19"/>
        <v>2500</v>
      </c>
      <c r="L258" s="698">
        <v>6157</v>
      </c>
      <c r="M258" s="697" t="str">
        <f t="shared" si="20"/>
        <v>000</v>
      </c>
      <c r="N258" s="276" t="s">
        <v>814</v>
      </c>
    </row>
    <row r="259" spans="1:14" x14ac:dyDescent="0.2">
      <c r="A259" s="270" t="s">
        <v>249</v>
      </c>
      <c r="B259" s="270" t="s">
        <v>310</v>
      </c>
      <c r="C259" s="270" t="s">
        <v>311</v>
      </c>
      <c r="D259" s="696" t="str">
        <f t="shared" si="26"/>
        <v>100-100-2500-6161-000-32-05</v>
      </c>
      <c r="E259" s="270" t="s">
        <v>312</v>
      </c>
      <c r="F259" s="696">
        <f t="shared" si="25"/>
        <v>0</v>
      </c>
      <c r="G259" s="696">
        <f>VLOOKUP(L259,'Function-Grant'!$C:$AM,13,'Function-Grant'!$C:$AM)</f>
        <v>0</v>
      </c>
      <c r="H259" s="271" t="s">
        <v>311</v>
      </c>
      <c r="J259" s="276" t="s">
        <v>268</v>
      </c>
      <c r="K259" s="697" t="str">
        <f t="shared" si="19"/>
        <v>2500</v>
      </c>
      <c r="L259" s="698">
        <v>6161</v>
      </c>
      <c r="M259" s="697" t="str">
        <f t="shared" si="20"/>
        <v>000</v>
      </c>
      <c r="N259" s="276" t="s">
        <v>814</v>
      </c>
    </row>
    <row r="260" spans="1:14" x14ac:dyDescent="0.2">
      <c r="A260" s="270" t="s">
        <v>249</v>
      </c>
      <c r="B260" s="270" t="s">
        <v>310</v>
      </c>
      <c r="C260" s="270" t="s">
        <v>311</v>
      </c>
      <c r="D260" s="696" t="str">
        <f t="shared" si="26"/>
        <v>100-100-2500-6164-000-32-05</v>
      </c>
      <c r="E260" s="270" t="s">
        <v>312</v>
      </c>
      <c r="F260" s="696">
        <f t="shared" si="25"/>
        <v>0</v>
      </c>
      <c r="G260" s="696">
        <f>VLOOKUP(L260,'Function-Grant'!$C:$AM,13,'Function-Grant'!$C:$AM)</f>
        <v>0</v>
      </c>
      <c r="H260" s="271" t="s">
        <v>311</v>
      </c>
      <c r="J260" s="276" t="s">
        <v>268</v>
      </c>
      <c r="K260" s="697" t="str">
        <f t="shared" si="19"/>
        <v>2500</v>
      </c>
      <c r="L260" s="698">
        <v>6164</v>
      </c>
      <c r="M260" s="697" t="str">
        <f t="shared" si="20"/>
        <v>000</v>
      </c>
      <c r="N260" s="276" t="s">
        <v>814</v>
      </c>
    </row>
    <row r="261" spans="1:14" x14ac:dyDescent="0.2">
      <c r="A261" s="270" t="s">
        <v>249</v>
      </c>
      <c r="B261" s="270" t="s">
        <v>310</v>
      </c>
      <c r="C261" s="270" t="s">
        <v>311</v>
      </c>
      <c r="D261" s="696" t="str">
        <f t="shared" si="26"/>
        <v>100-100-2500-6167-000-32-05</v>
      </c>
      <c r="E261" s="270" t="s">
        <v>312</v>
      </c>
      <c r="F261" s="696">
        <f t="shared" si="25"/>
        <v>2500</v>
      </c>
      <c r="G261" s="696">
        <f>VLOOKUP(L261,'Function-Grant'!$C:$AM,13,'Function-Grant'!$C:$AM)</f>
        <v>2500</v>
      </c>
      <c r="H261" s="271" t="s">
        <v>311</v>
      </c>
      <c r="J261" s="276" t="s">
        <v>268</v>
      </c>
      <c r="K261" s="697" t="str">
        <f t="shared" si="19"/>
        <v>2500</v>
      </c>
      <c r="L261" s="698">
        <v>6167</v>
      </c>
      <c r="M261" s="697" t="str">
        <f t="shared" si="20"/>
        <v>000</v>
      </c>
      <c r="N261" s="276" t="s">
        <v>814</v>
      </c>
    </row>
    <row r="262" spans="1:14" x14ac:dyDescent="0.2">
      <c r="A262" s="270" t="s">
        <v>249</v>
      </c>
      <c r="B262" s="270" t="s">
        <v>310</v>
      </c>
      <c r="C262" s="270" t="s">
        <v>311</v>
      </c>
      <c r="D262" s="696" t="str">
        <f t="shared" si="26"/>
        <v>100-100-2500-6211-000-32-05</v>
      </c>
      <c r="E262" s="270" t="s">
        <v>312</v>
      </c>
      <c r="F262" s="696">
        <f t="shared" si="25"/>
        <v>0</v>
      </c>
      <c r="G262" s="696">
        <f>VLOOKUP(L262,'Function-Grant'!$C:$AM,13,'Function-Grant'!$C:$AM)</f>
        <v>0</v>
      </c>
      <c r="H262" s="271" t="s">
        <v>311</v>
      </c>
      <c r="J262" s="276" t="s">
        <v>268</v>
      </c>
      <c r="K262" s="697" t="str">
        <f t="shared" si="19"/>
        <v>2500</v>
      </c>
      <c r="L262" s="698">
        <v>6211</v>
      </c>
      <c r="M262" s="697" t="str">
        <f t="shared" si="20"/>
        <v>000</v>
      </c>
      <c r="N262" s="276" t="s">
        <v>814</v>
      </c>
    </row>
    <row r="263" spans="1:14" x14ac:dyDescent="0.2">
      <c r="A263" s="270" t="s">
        <v>249</v>
      </c>
      <c r="B263" s="270" t="s">
        <v>310</v>
      </c>
      <c r="C263" s="270" t="s">
        <v>311</v>
      </c>
      <c r="D263" s="696" t="str">
        <f t="shared" si="26"/>
        <v>100-100-2500-6214-000-32-05</v>
      </c>
      <c r="E263" s="270" t="s">
        <v>312</v>
      </c>
      <c r="F263" s="696">
        <f t="shared" si="25"/>
        <v>0</v>
      </c>
      <c r="G263" s="696">
        <f>VLOOKUP(L263,'Function-Grant'!$C:$AM,13,'Function-Grant'!$C:$AM)</f>
        <v>0</v>
      </c>
      <c r="H263" s="271" t="s">
        <v>311</v>
      </c>
      <c r="J263" s="276" t="s">
        <v>268</v>
      </c>
      <c r="K263" s="697" t="str">
        <f t="shared" si="19"/>
        <v>2500</v>
      </c>
      <c r="L263" s="698">
        <v>6214</v>
      </c>
      <c r="M263" s="697" t="str">
        <f t="shared" si="20"/>
        <v>000</v>
      </c>
      <c r="N263" s="276" t="s">
        <v>814</v>
      </c>
    </row>
    <row r="264" spans="1:14" x14ac:dyDescent="0.2">
      <c r="A264" s="270" t="s">
        <v>249</v>
      </c>
      <c r="B264" s="270" t="s">
        <v>310</v>
      </c>
      <c r="C264" s="270" t="s">
        <v>311</v>
      </c>
      <c r="D264" s="696" t="str">
        <f t="shared" si="26"/>
        <v>100-100-2500-6217-000-32-05</v>
      </c>
      <c r="E264" s="270" t="s">
        <v>312</v>
      </c>
      <c r="F264" s="696">
        <f t="shared" si="25"/>
        <v>3552</v>
      </c>
      <c r="G264" s="696">
        <f>VLOOKUP(L264,'Function-Grant'!$C:$AM,13,'Function-Grant'!$C:$AM)</f>
        <v>3552</v>
      </c>
      <c r="H264" s="271" t="s">
        <v>311</v>
      </c>
      <c r="J264" s="276" t="s">
        <v>268</v>
      </c>
      <c r="K264" s="697" t="str">
        <f t="shared" si="19"/>
        <v>2500</v>
      </c>
      <c r="L264" s="698">
        <v>6217</v>
      </c>
      <c r="M264" s="697" t="str">
        <f t="shared" si="20"/>
        <v>000</v>
      </c>
      <c r="N264" s="276" t="s">
        <v>814</v>
      </c>
    </row>
    <row r="265" spans="1:14" x14ac:dyDescent="0.2">
      <c r="A265" s="270" t="s">
        <v>249</v>
      </c>
      <c r="B265" s="270" t="s">
        <v>310</v>
      </c>
      <c r="C265" s="270" t="s">
        <v>311</v>
      </c>
      <c r="D265" s="696" t="str">
        <f t="shared" si="26"/>
        <v>100-100-2500-6222-000-32-05</v>
      </c>
      <c r="E265" s="270" t="s">
        <v>312</v>
      </c>
      <c r="F265" s="696">
        <f t="shared" si="25"/>
        <v>0</v>
      </c>
      <c r="G265" s="696" t="e">
        <f>VLOOKUP(L265,'Function-Grant'!$C:$AM,13,'Function-Grant'!$C:$AM)</f>
        <v>#N/A</v>
      </c>
      <c r="H265" s="271" t="s">
        <v>311</v>
      </c>
      <c r="J265" s="276" t="s">
        <v>268</v>
      </c>
      <c r="K265" s="697" t="str">
        <f t="shared" si="19"/>
        <v>2500</v>
      </c>
      <c r="L265" s="698">
        <v>6222</v>
      </c>
      <c r="M265" s="697" t="str">
        <f t="shared" si="20"/>
        <v>000</v>
      </c>
      <c r="N265" s="276" t="s">
        <v>814</v>
      </c>
    </row>
    <row r="266" spans="1:14" x14ac:dyDescent="0.2">
      <c r="A266" s="270" t="s">
        <v>249</v>
      </c>
      <c r="B266" s="270" t="s">
        <v>310</v>
      </c>
      <c r="C266" s="270" t="s">
        <v>311</v>
      </c>
      <c r="D266" s="696" t="str">
        <f t="shared" si="26"/>
        <v>100-100-2500-6227-000-32-05</v>
      </c>
      <c r="E266" s="270" t="s">
        <v>312</v>
      </c>
      <c r="F266" s="696">
        <f t="shared" si="25"/>
        <v>2192.3200000000002</v>
      </c>
      <c r="G266" s="696">
        <f>VLOOKUP(L266,'Function-Grant'!$C:$AM,13,'Function-Grant'!$C:$AM)</f>
        <v>2192.3200000000002</v>
      </c>
      <c r="H266" s="271" t="s">
        <v>311</v>
      </c>
      <c r="J266" s="276" t="s">
        <v>268</v>
      </c>
      <c r="K266" s="697" t="str">
        <f t="shared" si="19"/>
        <v>2500</v>
      </c>
      <c r="L266" s="698">
        <v>6227</v>
      </c>
      <c r="M266" s="697" t="str">
        <f t="shared" si="20"/>
        <v>000</v>
      </c>
      <c r="N266" s="276" t="s">
        <v>814</v>
      </c>
    </row>
    <row r="267" spans="1:14" x14ac:dyDescent="0.2">
      <c r="A267" s="270" t="s">
        <v>249</v>
      </c>
      <c r="B267" s="270" t="s">
        <v>310</v>
      </c>
      <c r="C267" s="270" t="s">
        <v>311</v>
      </c>
      <c r="D267" s="696" t="str">
        <f t="shared" si="26"/>
        <v>100-100-2500-6231-000-32-05</v>
      </c>
      <c r="E267" s="270" t="s">
        <v>312</v>
      </c>
      <c r="F267" s="696">
        <f t="shared" si="25"/>
        <v>0</v>
      </c>
      <c r="G267" s="696">
        <f>VLOOKUP(L267,'Function-Grant'!$C:$AM,13,'Function-Grant'!$C:$AM)</f>
        <v>0</v>
      </c>
      <c r="H267" s="271" t="s">
        <v>311</v>
      </c>
      <c r="J267" s="276" t="s">
        <v>268</v>
      </c>
      <c r="K267" s="697" t="str">
        <f t="shared" si="19"/>
        <v>2500</v>
      </c>
      <c r="L267" s="698">
        <v>6231</v>
      </c>
      <c r="M267" s="697" t="str">
        <f t="shared" si="20"/>
        <v>000</v>
      </c>
      <c r="N267" s="276" t="s">
        <v>814</v>
      </c>
    </row>
    <row r="268" spans="1:14" x14ac:dyDescent="0.2">
      <c r="A268" s="270" t="s">
        <v>249</v>
      </c>
      <c r="B268" s="270" t="s">
        <v>310</v>
      </c>
      <c r="C268" s="270" t="s">
        <v>311</v>
      </c>
      <c r="D268" s="696" t="str">
        <f t="shared" si="26"/>
        <v>100-100-2500-6234-000-32-05</v>
      </c>
      <c r="E268" s="270" t="s">
        <v>312</v>
      </c>
      <c r="F268" s="696">
        <f t="shared" si="25"/>
        <v>0</v>
      </c>
      <c r="G268" s="696">
        <f>VLOOKUP(L268,'Function-Grant'!$C:$AM,13,'Function-Grant'!$C:$AM)</f>
        <v>0</v>
      </c>
      <c r="H268" s="271" t="s">
        <v>311</v>
      </c>
      <c r="J268" s="276" t="s">
        <v>268</v>
      </c>
      <c r="K268" s="697" t="str">
        <f t="shared" si="19"/>
        <v>2500</v>
      </c>
      <c r="L268" s="698">
        <v>6234</v>
      </c>
      <c r="M268" s="697" t="str">
        <f t="shared" si="20"/>
        <v>000</v>
      </c>
      <c r="N268" s="276" t="s">
        <v>814</v>
      </c>
    </row>
    <row r="269" spans="1:14" x14ac:dyDescent="0.2">
      <c r="A269" s="270" t="s">
        <v>249</v>
      </c>
      <c r="B269" s="270" t="s">
        <v>310</v>
      </c>
      <c r="C269" s="270" t="s">
        <v>311</v>
      </c>
      <c r="D269" s="696" t="str">
        <f t="shared" si="26"/>
        <v>100-100-2500-6237-000-32-05</v>
      </c>
      <c r="E269" s="270" t="s">
        <v>312</v>
      </c>
      <c r="F269" s="696">
        <f t="shared" si="25"/>
        <v>117882.8365725</v>
      </c>
      <c r="G269" s="696">
        <f>VLOOKUP(L269,'Function-Grant'!$C:$AM,13,'Function-Grant'!$C:$AM)</f>
        <v>117882.8365725</v>
      </c>
      <c r="H269" s="271" t="s">
        <v>311</v>
      </c>
      <c r="J269" s="276" t="s">
        <v>268</v>
      </c>
      <c r="K269" s="697" t="str">
        <f t="shared" si="19"/>
        <v>2500</v>
      </c>
      <c r="L269" s="698">
        <v>6237</v>
      </c>
      <c r="M269" s="697" t="str">
        <f t="shared" si="20"/>
        <v>000</v>
      </c>
      <c r="N269" s="276" t="s">
        <v>814</v>
      </c>
    </row>
    <row r="270" spans="1:14" x14ac:dyDescent="0.2">
      <c r="A270" s="270" t="s">
        <v>249</v>
      </c>
      <c r="B270" s="270" t="s">
        <v>310</v>
      </c>
      <c r="C270" s="270" t="s">
        <v>311</v>
      </c>
      <c r="D270" s="696" t="str">
        <f t="shared" si="26"/>
        <v>100-100-2500-6241-000-32-05</v>
      </c>
      <c r="E270" s="270" t="s">
        <v>312</v>
      </c>
      <c r="F270" s="696">
        <f t="shared" si="25"/>
        <v>0</v>
      </c>
      <c r="G270" s="696">
        <f>VLOOKUP(L270,'Function-Grant'!$C:$AM,13,'Function-Grant'!$C:$AM)</f>
        <v>0</v>
      </c>
      <c r="H270" s="271" t="s">
        <v>311</v>
      </c>
      <c r="J270" s="276" t="s">
        <v>268</v>
      </c>
      <c r="K270" s="697" t="str">
        <f t="shared" si="19"/>
        <v>2500</v>
      </c>
      <c r="L270" s="698">
        <v>6241</v>
      </c>
      <c r="M270" s="697" t="str">
        <f t="shared" si="20"/>
        <v>000</v>
      </c>
      <c r="N270" s="276" t="s">
        <v>814</v>
      </c>
    </row>
    <row r="271" spans="1:14" x14ac:dyDescent="0.2">
      <c r="A271" s="270" t="s">
        <v>249</v>
      </c>
      <c r="B271" s="270" t="s">
        <v>310</v>
      </c>
      <c r="C271" s="270" t="s">
        <v>311</v>
      </c>
      <c r="D271" s="696" t="str">
        <f t="shared" si="26"/>
        <v>100-100-2500-6242-000-32-05</v>
      </c>
      <c r="E271" s="270" t="s">
        <v>312</v>
      </c>
      <c r="F271" s="696">
        <f t="shared" si="25"/>
        <v>0</v>
      </c>
      <c r="G271" s="696" t="e">
        <f>VLOOKUP(L271,'Function-Grant'!$C:$AM,13,'Function-Grant'!$C:$AM)</f>
        <v>#N/A</v>
      </c>
      <c r="H271" s="271" t="s">
        <v>311</v>
      </c>
      <c r="J271" s="276" t="s">
        <v>268</v>
      </c>
      <c r="K271" s="697" t="str">
        <f t="shared" si="19"/>
        <v>2500</v>
      </c>
      <c r="L271" s="698">
        <v>6242</v>
      </c>
      <c r="M271" s="697" t="str">
        <f t="shared" si="20"/>
        <v>000</v>
      </c>
      <c r="N271" s="276" t="s">
        <v>814</v>
      </c>
    </row>
    <row r="272" spans="1:14" x14ac:dyDescent="0.2">
      <c r="A272" s="270" t="s">
        <v>249</v>
      </c>
      <c r="B272" s="270" t="s">
        <v>310</v>
      </c>
      <c r="C272" s="270" t="s">
        <v>311</v>
      </c>
      <c r="D272" s="696" t="str">
        <f t="shared" si="26"/>
        <v>100-100-2500-6244-000-32-05</v>
      </c>
      <c r="E272" s="270" t="s">
        <v>312</v>
      </c>
      <c r="F272" s="696">
        <f t="shared" si="25"/>
        <v>0</v>
      </c>
      <c r="G272" s="696">
        <f>VLOOKUP(L272,'Function-Grant'!$C:$AM,13,'Function-Grant'!$C:$AM)</f>
        <v>0</v>
      </c>
      <c r="H272" s="271" t="s">
        <v>311</v>
      </c>
      <c r="J272" s="276" t="s">
        <v>268</v>
      </c>
      <c r="K272" s="697" t="str">
        <f t="shared" si="19"/>
        <v>2500</v>
      </c>
      <c r="L272" s="698">
        <v>6244</v>
      </c>
      <c r="M272" s="697" t="str">
        <f t="shared" si="20"/>
        <v>000</v>
      </c>
      <c r="N272" s="276" t="s">
        <v>814</v>
      </c>
    </row>
    <row r="273" spans="1:14" x14ac:dyDescent="0.2">
      <c r="A273" s="270" t="s">
        <v>249</v>
      </c>
      <c r="B273" s="270" t="s">
        <v>310</v>
      </c>
      <c r="C273" s="270" t="s">
        <v>311</v>
      </c>
      <c r="D273" s="696" t="str">
        <f t="shared" si="26"/>
        <v>100-100-2500-6247-000-32-05</v>
      </c>
      <c r="E273" s="270" t="s">
        <v>312</v>
      </c>
      <c r="F273" s="696">
        <f t="shared" si="25"/>
        <v>9553.5466904999994</v>
      </c>
      <c r="G273" s="696">
        <f>VLOOKUP(L273,'Function-Grant'!$C:$AM,13,'Function-Grant'!$C:$AM)</f>
        <v>9553.5466904999994</v>
      </c>
      <c r="H273" s="271" t="s">
        <v>311</v>
      </c>
      <c r="J273" s="276" t="s">
        <v>268</v>
      </c>
      <c r="K273" s="697" t="str">
        <f t="shared" si="19"/>
        <v>2500</v>
      </c>
      <c r="L273" s="698">
        <v>6247</v>
      </c>
      <c r="M273" s="697" t="str">
        <f t="shared" si="20"/>
        <v>000</v>
      </c>
      <c r="N273" s="276" t="s">
        <v>814</v>
      </c>
    </row>
    <row r="274" spans="1:14" x14ac:dyDescent="0.2">
      <c r="A274" s="270" t="s">
        <v>249</v>
      </c>
      <c r="B274" s="270" t="s">
        <v>310</v>
      </c>
      <c r="C274" s="270" t="s">
        <v>311</v>
      </c>
      <c r="D274" s="696" t="str">
        <f t="shared" si="26"/>
        <v>100-100-2500-6261-000-32-05</v>
      </c>
      <c r="E274" s="270" t="s">
        <v>312</v>
      </c>
      <c r="F274" s="696">
        <f t="shared" si="25"/>
        <v>0</v>
      </c>
      <c r="G274" s="696">
        <f>VLOOKUP(L274,'Function-Grant'!$C:$AM,13,'Function-Grant'!$C:$AM)</f>
        <v>0</v>
      </c>
      <c r="H274" s="271" t="s">
        <v>311</v>
      </c>
      <c r="J274" s="276" t="s">
        <v>268</v>
      </c>
      <c r="K274" s="697" t="str">
        <f t="shared" si="19"/>
        <v>2500</v>
      </c>
      <c r="L274" s="698">
        <v>6261</v>
      </c>
      <c r="M274" s="697" t="str">
        <f t="shared" si="20"/>
        <v>000</v>
      </c>
      <c r="N274" s="276" t="s">
        <v>814</v>
      </c>
    </row>
    <row r="275" spans="1:14" x14ac:dyDescent="0.2">
      <c r="A275" s="270" t="s">
        <v>249</v>
      </c>
      <c r="B275" s="270" t="s">
        <v>310</v>
      </c>
      <c r="C275" s="270" t="s">
        <v>311</v>
      </c>
      <c r="D275" s="696" t="str">
        <f t="shared" si="26"/>
        <v>100-100-2500-6262-000-32-05</v>
      </c>
      <c r="E275" s="270" t="s">
        <v>312</v>
      </c>
      <c r="F275" s="696">
        <f t="shared" si="25"/>
        <v>0</v>
      </c>
      <c r="G275" s="696" t="e">
        <f>VLOOKUP(L275,'Function-Grant'!$C:$AM,13,'Function-Grant'!$C:$AM)</f>
        <v>#N/A</v>
      </c>
      <c r="H275" s="271" t="s">
        <v>311</v>
      </c>
      <c r="J275" s="276" t="s">
        <v>268</v>
      </c>
      <c r="K275" s="697" t="str">
        <f t="shared" si="19"/>
        <v>2500</v>
      </c>
      <c r="L275" s="698">
        <v>6262</v>
      </c>
      <c r="M275" s="697" t="str">
        <f t="shared" si="20"/>
        <v>000</v>
      </c>
      <c r="N275" s="276" t="s">
        <v>814</v>
      </c>
    </row>
    <row r="276" spans="1:14" x14ac:dyDescent="0.2">
      <c r="A276" s="270" t="s">
        <v>249</v>
      </c>
      <c r="B276" s="270" t="s">
        <v>310</v>
      </c>
      <c r="C276" s="270" t="s">
        <v>311</v>
      </c>
      <c r="D276" s="696" t="str">
        <f t="shared" si="26"/>
        <v>100-100-2500-6264-000-32-05</v>
      </c>
      <c r="E276" s="270" t="s">
        <v>312</v>
      </c>
      <c r="F276" s="696">
        <f t="shared" si="25"/>
        <v>0</v>
      </c>
      <c r="G276" s="696">
        <f>VLOOKUP(L276,'Function-Grant'!$C:$AM,13,'Function-Grant'!$C:$AM)</f>
        <v>0</v>
      </c>
      <c r="H276" s="271" t="s">
        <v>311</v>
      </c>
      <c r="J276" s="276" t="s">
        <v>268</v>
      </c>
      <c r="K276" s="697" t="str">
        <f t="shared" si="19"/>
        <v>2500</v>
      </c>
      <c r="L276" s="698">
        <v>6264</v>
      </c>
      <c r="M276" s="697" t="str">
        <f t="shared" si="20"/>
        <v>000</v>
      </c>
      <c r="N276" s="276" t="s">
        <v>814</v>
      </c>
    </row>
    <row r="277" spans="1:14" x14ac:dyDescent="0.2">
      <c r="A277" s="270" t="s">
        <v>249</v>
      </c>
      <c r="B277" s="270" t="s">
        <v>310</v>
      </c>
      <c r="C277" s="270" t="s">
        <v>311</v>
      </c>
      <c r="D277" s="696" t="str">
        <f t="shared" si="26"/>
        <v>100-100-2500-6267-000-32-05</v>
      </c>
      <c r="E277" s="270" t="s">
        <v>312</v>
      </c>
      <c r="F277" s="696">
        <f t="shared" si="25"/>
        <v>4328.3999999999987</v>
      </c>
      <c r="G277" s="696">
        <f>VLOOKUP(L277,'Function-Grant'!$C:$AM,13,'Function-Grant'!$C:$AM)</f>
        <v>4328.3999999999987</v>
      </c>
      <c r="H277" s="271" t="s">
        <v>311</v>
      </c>
      <c r="J277" s="276" t="s">
        <v>268</v>
      </c>
      <c r="K277" s="697" t="str">
        <f t="shared" si="19"/>
        <v>2500</v>
      </c>
      <c r="L277" s="698">
        <v>6267</v>
      </c>
      <c r="M277" s="697" t="str">
        <f t="shared" si="20"/>
        <v>000</v>
      </c>
      <c r="N277" s="276" t="s">
        <v>814</v>
      </c>
    </row>
    <row r="278" spans="1:14" x14ac:dyDescent="0.2">
      <c r="A278" s="270" t="s">
        <v>249</v>
      </c>
      <c r="B278" s="270" t="s">
        <v>310</v>
      </c>
      <c r="C278" s="270" t="s">
        <v>311</v>
      </c>
      <c r="D278" s="696" t="str">
        <f t="shared" si="26"/>
        <v>100-100-2500-6271-000-32-05</v>
      </c>
      <c r="E278" s="270" t="s">
        <v>312</v>
      </c>
      <c r="F278" s="696">
        <f t="shared" si="25"/>
        <v>0</v>
      </c>
      <c r="G278" s="696">
        <f>VLOOKUP(L278,'Function-Grant'!$C:$AM,13,'Function-Grant'!$C:$AM)</f>
        <v>0</v>
      </c>
      <c r="H278" s="271" t="s">
        <v>311</v>
      </c>
      <c r="J278" s="276" t="s">
        <v>268</v>
      </c>
      <c r="K278" s="697" t="str">
        <f t="shared" si="19"/>
        <v>2500</v>
      </c>
      <c r="L278" s="698">
        <v>6271</v>
      </c>
      <c r="M278" s="697" t="str">
        <f t="shared" si="20"/>
        <v>000</v>
      </c>
      <c r="N278" s="276" t="s">
        <v>814</v>
      </c>
    </row>
    <row r="279" spans="1:14" x14ac:dyDescent="0.2">
      <c r="A279" s="270" t="s">
        <v>249</v>
      </c>
      <c r="B279" s="270" t="s">
        <v>310</v>
      </c>
      <c r="C279" s="270" t="s">
        <v>311</v>
      </c>
      <c r="D279" s="696" t="str">
        <f t="shared" si="26"/>
        <v>100-100-2500-6274-000-32-05</v>
      </c>
      <c r="E279" s="270" t="s">
        <v>312</v>
      </c>
      <c r="F279" s="696">
        <f t="shared" si="25"/>
        <v>0</v>
      </c>
      <c r="G279" s="696">
        <f>VLOOKUP(L279,'Function-Grant'!$C:$AM,13,'Function-Grant'!$C:$AM)</f>
        <v>0</v>
      </c>
      <c r="H279" s="271" t="s">
        <v>311</v>
      </c>
      <c r="J279" s="276" t="s">
        <v>268</v>
      </c>
      <c r="K279" s="697" t="str">
        <f t="shared" si="19"/>
        <v>2500</v>
      </c>
      <c r="L279" s="698">
        <v>6274</v>
      </c>
      <c r="M279" s="697" t="str">
        <f t="shared" si="20"/>
        <v>000</v>
      </c>
      <c r="N279" s="276" t="s">
        <v>814</v>
      </c>
    </row>
    <row r="280" spans="1:14" x14ac:dyDescent="0.2">
      <c r="A280" s="270" t="s">
        <v>249</v>
      </c>
      <c r="B280" s="270" t="s">
        <v>310</v>
      </c>
      <c r="C280" s="270" t="s">
        <v>311</v>
      </c>
      <c r="D280" s="696" t="str">
        <f t="shared" si="26"/>
        <v>100-100-2500-6277-000-32-05</v>
      </c>
      <c r="E280" s="270" t="s">
        <v>312</v>
      </c>
      <c r="F280" s="696">
        <f t="shared" si="25"/>
        <v>4867.2396674999991</v>
      </c>
      <c r="G280" s="696">
        <f>VLOOKUP(L280,'Function-Grant'!$C:$AM,13,'Function-Grant'!$C:$AM)</f>
        <v>4867.2396674999991</v>
      </c>
      <c r="H280" s="271" t="s">
        <v>311</v>
      </c>
      <c r="J280" s="276" t="s">
        <v>268</v>
      </c>
      <c r="K280" s="697" t="str">
        <f t="shared" si="19"/>
        <v>2500</v>
      </c>
      <c r="L280" s="698">
        <v>6277</v>
      </c>
      <c r="M280" s="697" t="str">
        <f t="shared" si="20"/>
        <v>000</v>
      </c>
      <c r="N280" s="276" t="s">
        <v>814</v>
      </c>
    </row>
    <row r="281" spans="1:14" x14ac:dyDescent="0.2">
      <c r="A281" s="270" t="s">
        <v>249</v>
      </c>
      <c r="B281" s="270" t="s">
        <v>310</v>
      </c>
      <c r="C281" s="270" t="s">
        <v>311</v>
      </c>
      <c r="D281" s="696" t="str">
        <f t="shared" si="26"/>
        <v>100-100-2500-6281-000-32-05</v>
      </c>
      <c r="E281" s="270" t="s">
        <v>312</v>
      </c>
      <c r="F281" s="696">
        <f t="shared" si="25"/>
        <v>0</v>
      </c>
      <c r="G281" s="696">
        <f>VLOOKUP(L281,'Function-Grant'!$C:$AM,13,'Function-Grant'!$C:$AM)</f>
        <v>0</v>
      </c>
      <c r="H281" s="271" t="s">
        <v>311</v>
      </c>
      <c r="J281" s="276" t="s">
        <v>268</v>
      </c>
      <c r="K281" s="697" t="str">
        <f t="shared" si="19"/>
        <v>2500</v>
      </c>
      <c r="L281" s="698">
        <v>6281</v>
      </c>
      <c r="M281" s="697" t="str">
        <f t="shared" si="20"/>
        <v>000</v>
      </c>
      <c r="N281" s="276" t="s">
        <v>814</v>
      </c>
    </row>
    <row r="282" spans="1:14" x14ac:dyDescent="0.2">
      <c r="A282" s="270" t="s">
        <v>249</v>
      </c>
      <c r="B282" s="270" t="s">
        <v>310</v>
      </c>
      <c r="C282" s="270" t="s">
        <v>311</v>
      </c>
      <c r="D282" s="696" t="str">
        <f t="shared" si="26"/>
        <v>100-100-2500-6284-000-32-05</v>
      </c>
      <c r="E282" s="270" t="s">
        <v>312</v>
      </c>
      <c r="F282" s="696">
        <f t="shared" si="25"/>
        <v>0</v>
      </c>
      <c r="G282" s="696">
        <f>VLOOKUP(L282,'Function-Grant'!$C:$AM,13,'Function-Grant'!$C:$AM)</f>
        <v>0</v>
      </c>
      <c r="H282" s="271" t="s">
        <v>311</v>
      </c>
      <c r="J282" s="276" t="s">
        <v>268</v>
      </c>
      <c r="K282" s="697" t="str">
        <f t="shared" si="19"/>
        <v>2500</v>
      </c>
      <c r="L282" s="698">
        <v>6284</v>
      </c>
      <c r="M282" s="697" t="str">
        <f t="shared" si="20"/>
        <v>000</v>
      </c>
      <c r="N282" s="276" t="s">
        <v>814</v>
      </c>
    </row>
    <row r="283" spans="1:14" x14ac:dyDescent="0.2">
      <c r="A283" s="270" t="s">
        <v>249</v>
      </c>
      <c r="B283" s="270" t="s">
        <v>310</v>
      </c>
      <c r="C283" s="270" t="s">
        <v>311</v>
      </c>
      <c r="D283" s="696" t="str">
        <f t="shared" si="26"/>
        <v>100-100-2500-6287-000-32-05</v>
      </c>
      <c r="E283" s="270" t="s">
        <v>312</v>
      </c>
      <c r="F283" s="696">
        <f t="shared" si="25"/>
        <v>38880</v>
      </c>
      <c r="G283" s="696">
        <f>VLOOKUP(L283,'Function-Grant'!$C:$AM,13,'Function-Grant'!$C:$AM)</f>
        <v>38880</v>
      </c>
      <c r="H283" s="271" t="s">
        <v>311</v>
      </c>
      <c r="J283" s="276" t="s">
        <v>268</v>
      </c>
      <c r="K283" s="697" t="str">
        <f t="shared" si="19"/>
        <v>2500</v>
      </c>
      <c r="L283" s="698">
        <v>6287</v>
      </c>
      <c r="M283" s="697" t="str">
        <f t="shared" si="20"/>
        <v>000</v>
      </c>
      <c r="N283" s="276" t="s">
        <v>814</v>
      </c>
    </row>
    <row r="284" spans="1:14" x14ac:dyDescent="0.2">
      <c r="A284" s="270" t="s">
        <v>249</v>
      </c>
      <c r="B284" s="270" t="s">
        <v>310</v>
      </c>
      <c r="C284" s="270" t="s">
        <v>311</v>
      </c>
      <c r="D284" s="696" t="str">
        <f t="shared" si="26"/>
        <v>100-100-2500-6300-000-32-05</v>
      </c>
      <c r="E284" s="270" t="s">
        <v>312</v>
      </c>
      <c r="F284" s="696">
        <f t="shared" si="25"/>
        <v>28050</v>
      </c>
      <c r="G284" s="696">
        <f>VLOOKUP(L284,'Function-Grant'!$C:$AM,13,'Function-Grant'!$C:$AM)</f>
        <v>28050</v>
      </c>
      <c r="H284" s="271" t="s">
        <v>311</v>
      </c>
      <c r="J284" s="276" t="s">
        <v>268</v>
      </c>
      <c r="K284" s="697" t="str">
        <f t="shared" si="19"/>
        <v>2500</v>
      </c>
      <c r="L284" s="698">
        <v>6300</v>
      </c>
      <c r="M284" s="697" t="str">
        <f t="shared" si="20"/>
        <v>000</v>
      </c>
      <c r="N284" s="276" t="s">
        <v>814</v>
      </c>
    </row>
    <row r="285" spans="1:14" x14ac:dyDescent="0.2">
      <c r="A285" s="270" t="s">
        <v>249</v>
      </c>
      <c r="B285" s="270" t="s">
        <v>310</v>
      </c>
      <c r="C285" s="270" t="s">
        <v>311</v>
      </c>
      <c r="D285" s="696" t="str">
        <f t="shared" si="26"/>
        <v>100-100-2500-6300-709-32-05</v>
      </c>
      <c r="E285" s="270" t="s">
        <v>312</v>
      </c>
      <c r="F285" s="696">
        <f t="shared" si="25"/>
        <v>0</v>
      </c>
      <c r="G285" s="696">
        <f>VLOOKUP(L285,'Function-Grant'!$C:$AQ,38,'Function-Grant'!$C:$AQ)</f>
        <v>0</v>
      </c>
      <c r="H285" s="271" t="s">
        <v>311</v>
      </c>
      <c r="J285" s="276" t="s">
        <v>290</v>
      </c>
      <c r="K285" s="697" t="str">
        <f t="shared" si="19"/>
        <v>2500</v>
      </c>
      <c r="L285" s="698">
        <v>6300</v>
      </c>
      <c r="M285" s="697" t="str">
        <f t="shared" si="20"/>
        <v>709</v>
      </c>
      <c r="N285" s="276" t="s">
        <v>814</v>
      </c>
    </row>
    <row r="286" spans="1:14" x14ac:dyDescent="0.2">
      <c r="A286" s="270" t="s">
        <v>249</v>
      </c>
      <c r="B286" s="270" t="s">
        <v>310</v>
      </c>
      <c r="C286" s="270" t="s">
        <v>311</v>
      </c>
      <c r="D286" s="696" t="str">
        <f t="shared" si="26"/>
        <v>100-100-2500-6320-000-32-05</v>
      </c>
      <c r="E286" s="270" t="s">
        <v>312</v>
      </c>
      <c r="F286" s="696">
        <f t="shared" ref="F286:F346" si="27">IFERROR(G286,0)</f>
        <v>0</v>
      </c>
      <c r="G286" s="696">
        <f>VLOOKUP(L286,'Function-Grant'!$C:$AM,13,'Function-Grant'!$C:$AM)</f>
        <v>0</v>
      </c>
      <c r="H286" s="271" t="s">
        <v>311</v>
      </c>
      <c r="J286" s="276" t="s">
        <v>268</v>
      </c>
      <c r="K286" s="697" t="str">
        <f t="shared" si="19"/>
        <v>2500</v>
      </c>
      <c r="L286" s="698">
        <v>6320</v>
      </c>
      <c r="M286" s="697" t="str">
        <f t="shared" si="20"/>
        <v>000</v>
      </c>
      <c r="N286" s="276" t="s">
        <v>814</v>
      </c>
    </row>
    <row r="287" spans="1:14" x14ac:dyDescent="0.2">
      <c r="A287" s="270" t="s">
        <v>249</v>
      </c>
      <c r="B287" s="270" t="s">
        <v>310</v>
      </c>
      <c r="C287" s="270" t="s">
        <v>311</v>
      </c>
      <c r="D287" s="696" t="str">
        <f t="shared" si="26"/>
        <v>100-100-2500-6331-000-32-05</v>
      </c>
      <c r="E287" s="270" t="s">
        <v>312</v>
      </c>
      <c r="F287" s="696">
        <f t="shared" si="27"/>
        <v>0</v>
      </c>
      <c r="G287" s="696">
        <f>VLOOKUP(L287,'Function-Grant'!$C:$AM,13,'Function-Grant'!$C:$AM)</f>
        <v>0</v>
      </c>
      <c r="H287" s="271" t="s">
        <v>311</v>
      </c>
      <c r="J287" s="276" t="s">
        <v>268</v>
      </c>
      <c r="K287" s="697" t="str">
        <f t="shared" si="19"/>
        <v>2500</v>
      </c>
      <c r="L287" s="698">
        <v>6331</v>
      </c>
      <c r="M287" s="697" t="str">
        <f t="shared" si="20"/>
        <v>000</v>
      </c>
      <c r="N287" s="276" t="s">
        <v>814</v>
      </c>
    </row>
    <row r="288" spans="1:14" x14ac:dyDescent="0.2">
      <c r="A288" s="270" t="s">
        <v>249</v>
      </c>
      <c r="B288" s="270" t="s">
        <v>310</v>
      </c>
      <c r="C288" s="270" t="s">
        <v>311</v>
      </c>
      <c r="D288" s="696" t="str">
        <f t="shared" si="26"/>
        <v>100-100-2500-6333-000-32-05</v>
      </c>
      <c r="E288" s="270" t="s">
        <v>312</v>
      </c>
      <c r="F288" s="696">
        <f t="shared" si="27"/>
        <v>0</v>
      </c>
      <c r="G288" s="696" t="e">
        <f>VLOOKUP(L288,'Function-Grant'!$C:$AM,13,'Function-Grant'!$C:$AM)</f>
        <v>#N/A</v>
      </c>
      <c r="H288" s="271" t="s">
        <v>311</v>
      </c>
      <c r="J288" s="276" t="s">
        <v>268</v>
      </c>
      <c r="K288" s="697" t="str">
        <f t="shared" si="19"/>
        <v>2500</v>
      </c>
      <c r="L288" s="698">
        <v>6333</v>
      </c>
      <c r="M288" s="697" t="str">
        <f t="shared" si="20"/>
        <v>000</v>
      </c>
      <c r="N288" s="276" t="s">
        <v>814</v>
      </c>
    </row>
    <row r="289" spans="1:14" x14ac:dyDescent="0.2">
      <c r="A289" s="270" t="s">
        <v>249</v>
      </c>
      <c r="B289" s="270" t="s">
        <v>310</v>
      </c>
      <c r="C289" s="270" t="s">
        <v>311</v>
      </c>
      <c r="D289" s="696" t="str">
        <f t="shared" si="26"/>
        <v>100-100-2500-6336-000-32-05</v>
      </c>
      <c r="E289" s="270" t="s">
        <v>312</v>
      </c>
      <c r="F289" s="696">
        <f t="shared" si="27"/>
        <v>5310</v>
      </c>
      <c r="G289" s="696">
        <f>VLOOKUP(L289,'Function-Grant'!$C:$AM,13,'Function-Grant'!$C:$AM)</f>
        <v>5310</v>
      </c>
      <c r="H289" s="271" t="s">
        <v>311</v>
      </c>
      <c r="J289" s="276" t="s">
        <v>268</v>
      </c>
      <c r="K289" s="697" t="str">
        <f t="shared" si="19"/>
        <v>2500</v>
      </c>
      <c r="L289" s="698">
        <v>6336</v>
      </c>
      <c r="M289" s="697" t="str">
        <f t="shared" si="20"/>
        <v>000</v>
      </c>
      <c r="N289" s="276" t="s">
        <v>814</v>
      </c>
    </row>
    <row r="290" spans="1:14" x14ac:dyDescent="0.2">
      <c r="A290" s="270" t="s">
        <v>249</v>
      </c>
      <c r="B290" s="270" t="s">
        <v>310</v>
      </c>
      <c r="C290" s="270" t="s">
        <v>311</v>
      </c>
      <c r="D290" s="696" t="str">
        <f t="shared" ref="D290" si="28">CONCATENATE("100-100-",K290,"-",L290,"-",M290,"-",N290)</f>
        <v>100-100-2500-6336-709-32-05</v>
      </c>
      <c r="E290" s="270" t="s">
        <v>312</v>
      </c>
      <c r="F290" s="696">
        <f t="shared" ref="F290" si="29">IFERROR(G290,0)</f>
        <v>2800</v>
      </c>
      <c r="G290" s="696">
        <f>VLOOKUP(L290,'Function-Grant'!$C:$AP,38,'Function-Grant'!$C:$AP)</f>
        <v>2800</v>
      </c>
      <c r="H290" s="271" t="s">
        <v>311</v>
      </c>
      <c r="J290" s="276" t="s">
        <v>290</v>
      </c>
      <c r="K290" s="697" t="str">
        <f t="shared" ref="K290" si="30">LEFT(J290,4)</f>
        <v>2500</v>
      </c>
      <c r="L290" s="698">
        <v>6336</v>
      </c>
      <c r="M290" s="697" t="str">
        <f t="shared" ref="M290" si="31">RIGHT(J290,3)</f>
        <v>709</v>
      </c>
      <c r="N290" s="276" t="s">
        <v>814</v>
      </c>
    </row>
    <row r="291" spans="1:14" x14ac:dyDescent="0.2">
      <c r="A291" s="270" t="s">
        <v>249</v>
      </c>
      <c r="B291" s="270" t="s">
        <v>310</v>
      </c>
      <c r="C291" s="270" t="s">
        <v>311</v>
      </c>
      <c r="D291" s="696" t="str">
        <f t="shared" si="26"/>
        <v>100-100-2500-6337-000-32-05</v>
      </c>
      <c r="E291" s="270" t="s">
        <v>312</v>
      </c>
      <c r="F291" s="696">
        <f t="shared" si="27"/>
        <v>5310</v>
      </c>
      <c r="G291" s="696">
        <f>VLOOKUP(L291,'Function-Grant'!$C:$AM,13,'Function-Grant'!$C:$AM)</f>
        <v>5310</v>
      </c>
      <c r="H291" s="271" t="s">
        <v>311</v>
      </c>
      <c r="J291" s="276" t="s">
        <v>268</v>
      </c>
      <c r="K291" s="697" t="str">
        <f t="shared" si="19"/>
        <v>2500</v>
      </c>
      <c r="L291" s="698">
        <v>6337</v>
      </c>
      <c r="M291" s="697" t="str">
        <f t="shared" si="20"/>
        <v>000</v>
      </c>
      <c r="N291" s="276" t="s">
        <v>814</v>
      </c>
    </row>
    <row r="292" spans="1:14" x14ac:dyDescent="0.2">
      <c r="A292" s="270" t="s">
        <v>249</v>
      </c>
      <c r="B292" s="270" t="s">
        <v>310</v>
      </c>
      <c r="C292" s="270" t="s">
        <v>311</v>
      </c>
      <c r="D292" s="696" t="str">
        <f t="shared" ref="D292" si="32">CONCATENATE("100-100-",K292,"-",L292,"-",M292,"-",N292)</f>
        <v>100-100-2500-6337-709-32-05</v>
      </c>
      <c r="E292" s="270" t="s">
        <v>312</v>
      </c>
      <c r="F292" s="696">
        <f t="shared" ref="F292" si="33">IFERROR(G292,0)</f>
        <v>2800</v>
      </c>
      <c r="G292" s="696">
        <f>VLOOKUP(L292,'Function-Grant'!$C:$AP,38,'Function-Grant'!$C:$AP)</f>
        <v>2800</v>
      </c>
      <c r="H292" s="271" t="s">
        <v>311</v>
      </c>
      <c r="J292" s="276" t="s">
        <v>290</v>
      </c>
      <c r="K292" s="697" t="str">
        <f t="shared" ref="K292" si="34">LEFT(J292,4)</f>
        <v>2500</v>
      </c>
      <c r="L292" s="698">
        <v>6337</v>
      </c>
      <c r="M292" s="697" t="str">
        <f t="shared" ref="M292" si="35">RIGHT(J292,3)</f>
        <v>709</v>
      </c>
      <c r="N292" s="276" t="s">
        <v>814</v>
      </c>
    </row>
    <row r="293" spans="1:14" x14ac:dyDescent="0.2">
      <c r="A293" s="270" t="s">
        <v>249</v>
      </c>
      <c r="B293" s="270" t="s">
        <v>310</v>
      </c>
      <c r="C293" s="270" t="s">
        <v>311</v>
      </c>
      <c r="D293" s="696" t="str">
        <f t="shared" si="26"/>
        <v>100-100-2500-6340-000-32-05</v>
      </c>
      <c r="E293" s="270" t="s">
        <v>312</v>
      </c>
      <c r="F293" s="696">
        <f t="shared" si="27"/>
        <v>0</v>
      </c>
      <c r="G293" s="696">
        <f>VLOOKUP(L293,'Function-Grant'!$C:$AM,13,'Function-Grant'!$C:$AM)</f>
        <v>0</v>
      </c>
      <c r="H293" s="271" t="s">
        <v>311</v>
      </c>
      <c r="J293" s="276" t="s">
        <v>268</v>
      </c>
      <c r="K293" s="697" t="str">
        <f t="shared" si="19"/>
        <v>2500</v>
      </c>
      <c r="L293" s="698">
        <v>6340</v>
      </c>
      <c r="M293" s="697" t="str">
        <f t="shared" si="20"/>
        <v>000</v>
      </c>
      <c r="N293" s="276" t="s">
        <v>814</v>
      </c>
    </row>
    <row r="294" spans="1:14" x14ac:dyDescent="0.2">
      <c r="A294" s="270" t="s">
        <v>249</v>
      </c>
      <c r="B294" s="270" t="s">
        <v>310</v>
      </c>
      <c r="C294" s="270" t="s">
        <v>311</v>
      </c>
      <c r="D294" s="696" t="str">
        <f t="shared" si="26"/>
        <v>100-100-2500-6345-000-32-05</v>
      </c>
      <c r="E294" s="270" t="s">
        <v>312</v>
      </c>
      <c r="F294" s="696">
        <f t="shared" si="27"/>
        <v>0</v>
      </c>
      <c r="G294" s="696">
        <f>VLOOKUP(L294,'Function-Grant'!$C:$AM,13,'Function-Grant'!$C:$AM)</f>
        <v>0</v>
      </c>
      <c r="H294" s="271" t="s">
        <v>311</v>
      </c>
      <c r="J294" s="276" t="s">
        <v>268</v>
      </c>
      <c r="K294" s="697" t="str">
        <f t="shared" si="19"/>
        <v>2500</v>
      </c>
      <c r="L294" s="698">
        <v>6345</v>
      </c>
      <c r="M294" s="697" t="str">
        <f t="shared" si="20"/>
        <v>000</v>
      </c>
      <c r="N294" s="276" t="s">
        <v>814</v>
      </c>
    </row>
    <row r="295" spans="1:14" x14ac:dyDescent="0.2">
      <c r="A295" s="270" t="s">
        <v>249</v>
      </c>
      <c r="B295" s="270" t="s">
        <v>310</v>
      </c>
      <c r="C295" s="270" t="s">
        <v>311</v>
      </c>
      <c r="D295" s="696" t="str">
        <f t="shared" si="26"/>
        <v>100-100-2500-6350-000-32-05</v>
      </c>
      <c r="E295" s="270" t="s">
        <v>312</v>
      </c>
      <c r="F295" s="696">
        <f t="shared" si="27"/>
        <v>0</v>
      </c>
      <c r="G295" s="696">
        <f>VLOOKUP(L295,'Function-Grant'!$C:$AM,13,'Function-Grant'!$C:$AM)</f>
        <v>0</v>
      </c>
      <c r="H295" s="271" t="s">
        <v>311</v>
      </c>
      <c r="J295" s="276" t="s">
        <v>268</v>
      </c>
      <c r="K295" s="697" t="str">
        <f t="shared" si="19"/>
        <v>2500</v>
      </c>
      <c r="L295" s="698">
        <v>6350</v>
      </c>
      <c r="M295" s="697" t="str">
        <f t="shared" si="20"/>
        <v>000</v>
      </c>
      <c r="N295" s="276" t="s">
        <v>814</v>
      </c>
    </row>
    <row r="296" spans="1:14" x14ac:dyDescent="0.2">
      <c r="A296" s="270" t="s">
        <v>249</v>
      </c>
      <c r="B296" s="270" t="s">
        <v>310</v>
      </c>
      <c r="C296" s="270" t="s">
        <v>311</v>
      </c>
      <c r="D296" s="696" t="str">
        <f t="shared" si="26"/>
        <v>100-100-2500-6351-000-32-05</v>
      </c>
      <c r="E296" s="270" t="s">
        <v>312</v>
      </c>
      <c r="F296" s="696">
        <f t="shared" si="27"/>
        <v>0</v>
      </c>
      <c r="G296" s="696">
        <f>VLOOKUP(L296,'Function-Grant'!$C:$AM,13,'Function-Grant'!$C:$AM)</f>
        <v>0</v>
      </c>
      <c r="H296" s="271" t="s">
        <v>311</v>
      </c>
      <c r="J296" s="276" t="s">
        <v>268</v>
      </c>
      <c r="K296" s="697" t="str">
        <f t="shared" si="19"/>
        <v>2500</v>
      </c>
      <c r="L296" s="698">
        <v>6351</v>
      </c>
      <c r="M296" s="697" t="str">
        <f t="shared" si="20"/>
        <v>000</v>
      </c>
      <c r="N296" s="276" t="s">
        <v>814</v>
      </c>
    </row>
    <row r="297" spans="1:14" x14ac:dyDescent="0.2">
      <c r="A297" s="270" t="s">
        <v>249</v>
      </c>
      <c r="B297" s="270" t="s">
        <v>310</v>
      </c>
      <c r="C297" s="270" t="s">
        <v>311</v>
      </c>
      <c r="D297" s="696" t="str">
        <f t="shared" si="26"/>
        <v>100-100-2500-6410-000-32-05</v>
      </c>
      <c r="E297" s="270" t="s">
        <v>312</v>
      </c>
      <c r="F297" s="696">
        <f t="shared" si="27"/>
        <v>0</v>
      </c>
      <c r="G297" s="696">
        <f>VLOOKUP(L297,'Function-Grant'!$C:$AM,13,'Function-Grant'!$C:$AM)</f>
        <v>0</v>
      </c>
      <c r="H297" s="271" t="s">
        <v>311</v>
      </c>
      <c r="J297" s="276" t="s">
        <v>268</v>
      </c>
      <c r="K297" s="697" t="str">
        <f t="shared" si="19"/>
        <v>2500</v>
      </c>
      <c r="L297" s="698">
        <v>6410</v>
      </c>
      <c r="M297" s="697" t="str">
        <f t="shared" si="20"/>
        <v>000</v>
      </c>
      <c r="N297" s="276" t="s">
        <v>814</v>
      </c>
    </row>
    <row r="298" spans="1:14" x14ac:dyDescent="0.2">
      <c r="A298" s="270" t="s">
        <v>249</v>
      </c>
      <c r="B298" s="270" t="s">
        <v>310</v>
      </c>
      <c r="C298" s="270" t="s">
        <v>311</v>
      </c>
      <c r="D298" s="696" t="str">
        <f t="shared" si="26"/>
        <v>100-100-2500-6420-000-32-05</v>
      </c>
      <c r="E298" s="270" t="s">
        <v>312</v>
      </c>
      <c r="F298" s="696">
        <f t="shared" si="27"/>
        <v>0</v>
      </c>
      <c r="G298" s="696">
        <f>VLOOKUP(L298,'Function-Grant'!$C:$AM,13,'Function-Grant'!$C:$AM)</f>
        <v>0</v>
      </c>
      <c r="H298" s="271" t="s">
        <v>311</v>
      </c>
      <c r="J298" s="276" t="s">
        <v>268</v>
      </c>
      <c r="K298" s="697" t="str">
        <f t="shared" si="19"/>
        <v>2500</v>
      </c>
      <c r="L298" s="698">
        <v>6420</v>
      </c>
      <c r="M298" s="697" t="str">
        <f t="shared" si="20"/>
        <v>000</v>
      </c>
      <c r="N298" s="276" t="s">
        <v>814</v>
      </c>
    </row>
    <row r="299" spans="1:14" x14ac:dyDescent="0.2">
      <c r="A299" s="270" t="s">
        <v>249</v>
      </c>
      <c r="B299" s="270" t="s">
        <v>310</v>
      </c>
      <c r="C299" s="270" t="s">
        <v>311</v>
      </c>
      <c r="D299" s="696" t="str">
        <f t="shared" ref="D299:D346" si="36">CONCATENATE("100-100-",K299,"-",L299,"-",M299,"-",N299)</f>
        <v>100-100-2500-6430-000-32-05</v>
      </c>
      <c r="E299" s="270" t="s">
        <v>312</v>
      </c>
      <c r="F299" s="696">
        <f t="shared" si="27"/>
        <v>0</v>
      </c>
      <c r="G299" s="696">
        <f>VLOOKUP(L299,'Function-Grant'!$C:$AM,13,'Function-Grant'!$C:$AM)</f>
        <v>0</v>
      </c>
      <c r="H299" s="271" t="s">
        <v>311</v>
      </c>
      <c r="J299" s="276" t="s">
        <v>268</v>
      </c>
      <c r="K299" s="697" t="str">
        <f t="shared" si="19"/>
        <v>2500</v>
      </c>
      <c r="L299" s="698">
        <v>6430</v>
      </c>
      <c r="M299" s="697" t="str">
        <f t="shared" si="20"/>
        <v>000</v>
      </c>
      <c r="N299" s="276" t="s">
        <v>814</v>
      </c>
    </row>
    <row r="300" spans="1:14" x14ac:dyDescent="0.2">
      <c r="A300" s="270" t="s">
        <v>249</v>
      </c>
      <c r="B300" s="270" t="s">
        <v>310</v>
      </c>
      <c r="C300" s="270" t="s">
        <v>311</v>
      </c>
      <c r="D300" s="696" t="str">
        <f t="shared" si="36"/>
        <v>100-100-2500-6441-000-32-05</v>
      </c>
      <c r="E300" s="270" t="s">
        <v>312</v>
      </c>
      <c r="F300" s="696">
        <f t="shared" si="27"/>
        <v>0</v>
      </c>
      <c r="G300" s="696">
        <f>VLOOKUP(L300,'Function-Grant'!$C:$AM,13,'Function-Grant'!$C:$AM)</f>
        <v>0</v>
      </c>
      <c r="H300" s="271" t="s">
        <v>311</v>
      </c>
      <c r="J300" s="276" t="s">
        <v>268</v>
      </c>
      <c r="K300" s="697" t="str">
        <f t="shared" si="19"/>
        <v>2500</v>
      </c>
      <c r="L300" s="698">
        <v>6441</v>
      </c>
      <c r="M300" s="697" t="str">
        <f t="shared" si="20"/>
        <v>000</v>
      </c>
      <c r="N300" s="276" t="s">
        <v>814</v>
      </c>
    </row>
    <row r="301" spans="1:14" x14ac:dyDescent="0.2">
      <c r="A301" s="270" t="s">
        <v>249</v>
      </c>
      <c r="B301" s="270" t="s">
        <v>310</v>
      </c>
      <c r="C301" s="270" t="s">
        <v>311</v>
      </c>
      <c r="D301" s="696" t="str">
        <f t="shared" si="36"/>
        <v>100-100-2500-6519-000-32-05</v>
      </c>
      <c r="E301" s="270" t="s">
        <v>312</v>
      </c>
      <c r="F301" s="696">
        <f t="shared" si="27"/>
        <v>0</v>
      </c>
      <c r="G301" s="696">
        <f>VLOOKUP(L301,'Function-Grant'!$C:$AM,13,'Function-Grant'!$C:$AM)</f>
        <v>0</v>
      </c>
      <c r="H301" s="271" t="s">
        <v>311</v>
      </c>
      <c r="J301" s="276" t="s">
        <v>268</v>
      </c>
      <c r="K301" s="697" t="str">
        <f t="shared" si="19"/>
        <v>2500</v>
      </c>
      <c r="L301" s="698">
        <v>6519</v>
      </c>
      <c r="M301" s="697" t="str">
        <f t="shared" si="20"/>
        <v>000</v>
      </c>
      <c r="N301" s="276" t="s">
        <v>814</v>
      </c>
    </row>
    <row r="302" spans="1:14" x14ac:dyDescent="0.2">
      <c r="A302" s="270" t="s">
        <v>249</v>
      </c>
      <c r="B302" s="270" t="s">
        <v>310</v>
      </c>
      <c r="C302" s="270" t="s">
        <v>311</v>
      </c>
      <c r="D302" s="696" t="str">
        <f t="shared" si="36"/>
        <v>100-100-2500-6521-000-32-05</v>
      </c>
      <c r="E302" s="270" t="s">
        <v>312</v>
      </c>
      <c r="F302" s="696">
        <f t="shared" si="27"/>
        <v>0</v>
      </c>
      <c r="G302" s="696">
        <f>VLOOKUP(L302,'Function-Grant'!$C:$AM,13,'Function-Grant'!$C:$AM)</f>
        <v>0</v>
      </c>
      <c r="H302" s="271" t="s">
        <v>311</v>
      </c>
      <c r="J302" s="276" t="s">
        <v>268</v>
      </c>
      <c r="K302" s="697" t="str">
        <f t="shared" si="19"/>
        <v>2500</v>
      </c>
      <c r="L302" s="698">
        <v>6521</v>
      </c>
      <c r="M302" s="697" t="str">
        <f t="shared" si="20"/>
        <v>000</v>
      </c>
      <c r="N302" s="276" t="s">
        <v>814</v>
      </c>
    </row>
    <row r="303" spans="1:14" x14ac:dyDescent="0.2">
      <c r="A303" s="270" t="s">
        <v>249</v>
      </c>
      <c r="B303" s="270" t="s">
        <v>310</v>
      </c>
      <c r="C303" s="270" t="s">
        <v>311</v>
      </c>
      <c r="D303" s="696" t="str">
        <f t="shared" si="36"/>
        <v>100-100-2500-6522-000-32-05</v>
      </c>
      <c r="E303" s="270" t="s">
        <v>312</v>
      </c>
      <c r="F303" s="696">
        <f t="shared" si="27"/>
        <v>0</v>
      </c>
      <c r="G303" s="696">
        <f>VLOOKUP(L303,'Function-Grant'!$C:$AM,13,'Function-Grant'!$C:$AM)</f>
        <v>0</v>
      </c>
      <c r="H303" s="271" t="s">
        <v>311</v>
      </c>
      <c r="J303" s="276" t="s">
        <v>268</v>
      </c>
      <c r="K303" s="697" t="str">
        <f t="shared" si="19"/>
        <v>2500</v>
      </c>
      <c r="L303" s="698">
        <v>6522</v>
      </c>
      <c r="M303" s="697" t="str">
        <f t="shared" si="20"/>
        <v>000</v>
      </c>
      <c r="N303" s="276" t="s">
        <v>814</v>
      </c>
    </row>
    <row r="304" spans="1:14" x14ac:dyDescent="0.2">
      <c r="A304" s="270" t="s">
        <v>249</v>
      </c>
      <c r="B304" s="270" t="s">
        <v>310</v>
      </c>
      <c r="C304" s="270" t="s">
        <v>311</v>
      </c>
      <c r="D304" s="696" t="str">
        <f t="shared" si="36"/>
        <v>100-100-2500-6523-000-32-05</v>
      </c>
      <c r="E304" s="270" t="s">
        <v>312</v>
      </c>
      <c r="F304" s="696">
        <f t="shared" si="27"/>
        <v>0</v>
      </c>
      <c r="G304" s="696">
        <f>VLOOKUP(L304,'Function-Grant'!$C:$AM,13,'Function-Grant'!$C:$AM)</f>
        <v>0</v>
      </c>
      <c r="H304" s="271" t="s">
        <v>311</v>
      </c>
      <c r="J304" s="276" t="s">
        <v>268</v>
      </c>
      <c r="K304" s="697" t="str">
        <f t="shared" si="19"/>
        <v>2500</v>
      </c>
      <c r="L304" s="698">
        <v>6523</v>
      </c>
      <c r="M304" s="697" t="str">
        <f t="shared" si="20"/>
        <v>000</v>
      </c>
      <c r="N304" s="276" t="s">
        <v>814</v>
      </c>
    </row>
    <row r="305" spans="1:14" x14ac:dyDescent="0.2">
      <c r="A305" s="270" t="s">
        <v>249</v>
      </c>
      <c r="B305" s="270" t="s">
        <v>310</v>
      </c>
      <c r="C305" s="270" t="s">
        <v>311</v>
      </c>
      <c r="D305" s="696" t="str">
        <f t="shared" si="36"/>
        <v>100-100-2500-6531-000-32-05</v>
      </c>
      <c r="E305" s="270" t="s">
        <v>312</v>
      </c>
      <c r="F305" s="696">
        <f t="shared" si="27"/>
        <v>5524</v>
      </c>
      <c r="G305" s="696">
        <f>VLOOKUP(L305,'Function-Grant'!$C:$AM,13,'Function-Grant'!$C:$AM)</f>
        <v>5524</v>
      </c>
      <c r="H305" s="271" t="s">
        <v>311</v>
      </c>
      <c r="J305" s="276" t="s">
        <v>268</v>
      </c>
      <c r="K305" s="697" t="str">
        <f t="shared" si="19"/>
        <v>2500</v>
      </c>
      <c r="L305" s="698">
        <v>6531</v>
      </c>
      <c r="M305" s="697" t="str">
        <f t="shared" si="20"/>
        <v>000</v>
      </c>
      <c r="N305" s="276" t="s">
        <v>814</v>
      </c>
    </row>
    <row r="306" spans="1:14" x14ac:dyDescent="0.2">
      <c r="A306" s="270" t="s">
        <v>249</v>
      </c>
      <c r="B306" s="270" t="s">
        <v>310</v>
      </c>
      <c r="C306" s="270" t="s">
        <v>311</v>
      </c>
      <c r="D306" s="696" t="str">
        <f t="shared" si="36"/>
        <v>100-100-2500-6534-000-32-05</v>
      </c>
      <c r="E306" s="270" t="s">
        <v>312</v>
      </c>
      <c r="F306" s="696">
        <f t="shared" si="27"/>
        <v>0</v>
      </c>
      <c r="G306" s="696">
        <f>VLOOKUP(L306,'Function-Grant'!$C:$AM,13,'Function-Grant'!$C:$AM)</f>
        <v>0</v>
      </c>
      <c r="H306" s="271" t="s">
        <v>311</v>
      </c>
      <c r="J306" s="276" t="s">
        <v>268</v>
      </c>
      <c r="K306" s="697" t="str">
        <f t="shared" si="19"/>
        <v>2500</v>
      </c>
      <c r="L306" s="698">
        <v>6534</v>
      </c>
      <c r="M306" s="697" t="str">
        <f t="shared" si="20"/>
        <v>000</v>
      </c>
      <c r="N306" s="276" t="s">
        <v>814</v>
      </c>
    </row>
    <row r="307" spans="1:14" x14ac:dyDescent="0.2">
      <c r="A307" s="270" t="s">
        <v>249</v>
      </c>
      <c r="B307" s="270" t="s">
        <v>310</v>
      </c>
      <c r="C307" s="270" t="s">
        <v>311</v>
      </c>
      <c r="D307" s="696" t="str">
        <f t="shared" si="36"/>
        <v>100-100-2500-6535-000-32-05</v>
      </c>
      <c r="E307" s="270" t="s">
        <v>312</v>
      </c>
      <c r="F307" s="696">
        <f t="shared" si="27"/>
        <v>52972.56</v>
      </c>
      <c r="G307" s="696">
        <f>VLOOKUP(L307,'Function-Grant'!$C:$AM,13,'Function-Grant'!$C:$AM)</f>
        <v>52972.56</v>
      </c>
      <c r="H307" s="271" t="s">
        <v>311</v>
      </c>
      <c r="J307" s="276" t="s">
        <v>268</v>
      </c>
      <c r="K307" s="697" t="str">
        <f t="shared" si="19"/>
        <v>2500</v>
      </c>
      <c r="L307" s="698">
        <v>6535</v>
      </c>
      <c r="M307" s="697" t="str">
        <f t="shared" si="20"/>
        <v>000</v>
      </c>
      <c r="N307" s="276" t="s">
        <v>814</v>
      </c>
    </row>
    <row r="308" spans="1:14" x14ac:dyDescent="0.2">
      <c r="A308" s="270" t="s">
        <v>249</v>
      </c>
      <c r="B308" s="270" t="s">
        <v>310</v>
      </c>
      <c r="C308" s="270" t="s">
        <v>311</v>
      </c>
      <c r="D308" s="696" t="str">
        <f t="shared" si="36"/>
        <v>100-100-2500-6540-000-32-05</v>
      </c>
      <c r="E308" s="270" t="s">
        <v>312</v>
      </c>
      <c r="F308" s="696">
        <f t="shared" si="27"/>
        <v>0</v>
      </c>
      <c r="G308" s="696">
        <f>VLOOKUP(L308,'Function-Grant'!$C:$AM,13,'Function-Grant'!$C:$AM)</f>
        <v>0</v>
      </c>
      <c r="H308" s="271" t="s">
        <v>311</v>
      </c>
      <c r="J308" s="276" t="s">
        <v>268</v>
      </c>
      <c r="K308" s="697" t="str">
        <f t="shared" si="19"/>
        <v>2500</v>
      </c>
      <c r="L308" s="698">
        <v>6540</v>
      </c>
      <c r="M308" s="697" t="str">
        <f t="shared" si="20"/>
        <v>000</v>
      </c>
      <c r="N308" s="276" t="s">
        <v>814</v>
      </c>
    </row>
    <row r="309" spans="1:14" x14ac:dyDescent="0.2">
      <c r="A309" s="270" t="s">
        <v>249</v>
      </c>
      <c r="B309" s="270" t="s">
        <v>310</v>
      </c>
      <c r="C309" s="270" t="s">
        <v>311</v>
      </c>
      <c r="D309" s="696" t="str">
        <f t="shared" si="36"/>
        <v>100-100-2500-6550-000-32-05</v>
      </c>
      <c r="E309" s="270" t="s">
        <v>312</v>
      </c>
      <c r="F309" s="696">
        <f t="shared" si="27"/>
        <v>0</v>
      </c>
      <c r="G309" s="696">
        <f>VLOOKUP(L309,'Function-Grant'!$C:$AM,13,'Function-Grant'!$C:$AM)</f>
        <v>0</v>
      </c>
      <c r="H309" s="271" t="s">
        <v>311</v>
      </c>
      <c r="J309" s="276" t="s">
        <v>268</v>
      </c>
      <c r="K309" s="697" t="str">
        <f t="shared" si="19"/>
        <v>2500</v>
      </c>
      <c r="L309" s="698">
        <v>6550</v>
      </c>
      <c r="M309" s="697" t="str">
        <f t="shared" si="20"/>
        <v>000</v>
      </c>
      <c r="N309" s="276" t="s">
        <v>814</v>
      </c>
    </row>
    <row r="310" spans="1:14" x14ac:dyDescent="0.2">
      <c r="A310" s="270" t="s">
        <v>249</v>
      </c>
      <c r="B310" s="270" t="s">
        <v>310</v>
      </c>
      <c r="C310" s="270" t="s">
        <v>311</v>
      </c>
      <c r="D310" s="696" t="str">
        <f t="shared" si="36"/>
        <v>100-100-2500-6568-000-32-05</v>
      </c>
      <c r="E310" s="270" t="s">
        <v>312</v>
      </c>
      <c r="F310" s="696">
        <f t="shared" si="27"/>
        <v>0</v>
      </c>
      <c r="G310" s="696">
        <f>VLOOKUP(L310,'Function-Grant'!$C:$AM,13,'Function-Grant'!$C:$AM)</f>
        <v>0</v>
      </c>
      <c r="H310" s="271" t="s">
        <v>311</v>
      </c>
      <c r="J310" s="276" t="s">
        <v>268</v>
      </c>
      <c r="K310" s="697" t="str">
        <f t="shared" si="19"/>
        <v>2500</v>
      </c>
      <c r="L310" s="698">
        <v>6568</v>
      </c>
      <c r="M310" s="697" t="str">
        <f t="shared" si="20"/>
        <v>000</v>
      </c>
      <c r="N310" s="276" t="s">
        <v>814</v>
      </c>
    </row>
    <row r="311" spans="1:14" x14ac:dyDescent="0.2">
      <c r="A311" s="270" t="s">
        <v>249</v>
      </c>
      <c r="B311" s="270" t="s">
        <v>310</v>
      </c>
      <c r="C311" s="270" t="s">
        <v>311</v>
      </c>
      <c r="D311" s="696" t="str">
        <f t="shared" si="36"/>
        <v>100-100-2500-6569-000-32-05</v>
      </c>
      <c r="E311" s="270" t="s">
        <v>312</v>
      </c>
      <c r="F311" s="696">
        <f t="shared" si="27"/>
        <v>0</v>
      </c>
      <c r="G311" s="696">
        <f>VLOOKUP(L311,'Function-Grant'!$C:$AM,13,'Function-Grant'!$C:$AM)</f>
        <v>0</v>
      </c>
      <c r="H311" s="271" t="s">
        <v>311</v>
      </c>
      <c r="J311" s="276" t="s">
        <v>268</v>
      </c>
      <c r="K311" s="697" t="str">
        <f t="shared" si="19"/>
        <v>2500</v>
      </c>
      <c r="L311" s="698">
        <v>6569</v>
      </c>
      <c r="M311" s="697" t="str">
        <f t="shared" si="20"/>
        <v>000</v>
      </c>
      <c r="N311" s="276" t="s">
        <v>814</v>
      </c>
    </row>
    <row r="312" spans="1:14" x14ac:dyDescent="0.2">
      <c r="A312" s="270" t="s">
        <v>249</v>
      </c>
      <c r="B312" s="270" t="s">
        <v>310</v>
      </c>
      <c r="C312" s="270" t="s">
        <v>311</v>
      </c>
      <c r="D312" s="696" t="str">
        <f t="shared" si="36"/>
        <v>100-100-2500-6580-000-32-05</v>
      </c>
      <c r="E312" s="270" t="s">
        <v>312</v>
      </c>
      <c r="F312" s="696">
        <f t="shared" si="27"/>
        <v>4000</v>
      </c>
      <c r="G312" s="696">
        <f>VLOOKUP(L312,'Function-Grant'!$C:$AM,13,'Function-Grant'!$C:$AM)</f>
        <v>4000</v>
      </c>
      <c r="H312" s="271" t="s">
        <v>311</v>
      </c>
      <c r="J312" s="276" t="s">
        <v>268</v>
      </c>
      <c r="K312" s="697" t="str">
        <f t="shared" si="19"/>
        <v>2500</v>
      </c>
      <c r="L312" s="698">
        <v>6580</v>
      </c>
      <c r="M312" s="697" t="str">
        <f t="shared" si="20"/>
        <v>000</v>
      </c>
      <c r="N312" s="276" t="s">
        <v>814</v>
      </c>
    </row>
    <row r="313" spans="1:14" x14ac:dyDescent="0.2">
      <c r="A313" s="270" t="s">
        <v>249</v>
      </c>
      <c r="B313" s="270" t="s">
        <v>310</v>
      </c>
      <c r="C313" s="270" t="s">
        <v>311</v>
      </c>
      <c r="D313" s="696" t="str">
        <f t="shared" si="36"/>
        <v>100-100-2500-6580-709-32-05</v>
      </c>
      <c r="E313" s="270" t="s">
        <v>312</v>
      </c>
      <c r="F313" s="696">
        <f t="shared" si="27"/>
        <v>4755</v>
      </c>
      <c r="G313" s="696">
        <f>VLOOKUP(L313,'Function-Grant'!$C:$AQ,38,'Function-Grant'!$C:$AQ)</f>
        <v>4755</v>
      </c>
      <c r="H313" s="271" t="s">
        <v>311</v>
      </c>
      <c r="J313" s="276" t="s">
        <v>290</v>
      </c>
      <c r="K313" s="697" t="str">
        <f t="shared" si="19"/>
        <v>2500</v>
      </c>
      <c r="L313" s="698">
        <v>6580</v>
      </c>
      <c r="M313" s="697" t="str">
        <f t="shared" si="20"/>
        <v>709</v>
      </c>
      <c r="N313" s="276" t="s">
        <v>814</v>
      </c>
    </row>
    <row r="314" spans="1:14" x14ac:dyDescent="0.2">
      <c r="A314" s="270" t="s">
        <v>249</v>
      </c>
      <c r="B314" s="270" t="s">
        <v>310</v>
      </c>
      <c r="C314" s="270" t="s">
        <v>311</v>
      </c>
      <c r="D314" s="696" t="str">
        <f t="shared" si="36"/>
        <v>100-100-2500-6610-000-32-05</v>
      </c>
      <c r="E314" s="270" t="s">
        <v>312</v>
      </c>
      <c r="F314" s="696">
        <f t="shared" si="27"/>
        <v>5250</v>
      </c>
      <c r="G314" s="696">
        <f>VLOOKUP(L314,'Function-Grant'!$C:$AM,13,'Function-Grant'!$C:$AM)</f>
        <v>5250</v>
      </c>
      <c r="H314" s="271" t="s">
        <v>311</v>
      </c>
      <c r="J314" s="276" t="s">
        <v>268</v>
      </c>
      <c r="K314" s="697" t="str">
        <f t="shared" si="19"/>
        <v>2500</v>
      </c>
      <c r="L314" s="698">
        <v>6610</v>
      </c>
      <c r="M314" s="697" t="str">
        <f t="shared" si="20"/>
        <v>000</v>
      </c>
      <c r="N314" s="276" t="s">
        <v>814</v>
      </c>
    </row>
    <row r="315" spans="1:14" x14ac:dyDescent="0.2">
      <c r="A315" s="270" t="s">
        <v>249</v>
      </c>
      <c r="B315" s="270" t="s">
        <v>310</v>
      </c>
      <c r="C315" s="270" t="s">
        <v>311</v>
      </c>
      <c r="D315" s="696" t="str">
        <f t="shared" si="36"/>
        <v>100-100-2500-6612-000-32-05</v>
      </c>
      <c r="E315" s="270" t="s">
        <v>312</v>
      </c>
      <c r="F315" s="696">
        <f t="shared" si="27"/>
        <v>1500</v>
      </c>
      <c r="G315" s="696">
        <f>VLOOKUP(L315,'Function-Grant'!$C:$AM,13,'Function-Grant'!$C:$AM)</f>
        <v>1500</v>
      </c>
      <c r="H315" s="271" t="s">
        <v>311</v>
      </c>
      <c r="J315" s="276" t="s">
        <v>268</v>
      </c>
      <c r="K315" s="697" t="str">
        <f t="shared" si="19"/>
        <v>2500</v>
      </c>
      <c r="L315" s="698">
        <v>6612</v>
      </c>
      <c r="M315" s="697" t="str">
        <f t="shared" si="20"/>
        <v>000</v>
      </c>
      <c r="N315" s="276" t="s">
        <v>814</v>
      </c>
    </row>
    <row r="316" spans="1:14" x14ac:dyDescent="0.2">
      <c r="A316" s="270" t="s">
        <v>249</v>
      </c>
      <c r="B316" s="270" t="s">
        <v>310</v>
      </c>
      <c r="C316" s="270" t="s">
        <v>311</v>
      </c>
      <c r="D316" s="696" t="str">
        <f t="shared" si="36"/>
        <v>100-100-2500-6622-000-32-05</v>
      </c>
      <c r="E316" s="270" t="s">
        <v>312</v>
      </c>
      <c r="F316" s="696">
        <f t="shared" si="27"/>
        <v>0</v>
      </c>
      <c r="G316" s="696">
        <f>VLOOKUP(L316,'Function-Grant'!$C:$AM,13,'Function-Grant'!$C:$AM)</f>
        <v>0</v>
      </c>
      <c r="H316" s="271" t="s">
        <v>311</v>
      </c>
      <c r="J316" s="276" t="s">
        <v>268</v>
      </c>
      <c r="K316" s="697" t="str">
        <f t="shared" si="19"/>
        <v>2500</v>
      </c>
      <c r="L316" s="698">
        <v>6622</v>
      </c>
      <c r="M316" s="697" t="str">
        <f t="shared" si="20"/>
        <v>000</v>
      </c>
      <c r="N316" s="276" t="s">
        <v>814</v>
      </c>
    </row>
    <row r="317" spans="1:14" x14ac:dyDescent="0.2">
      <c r="A317" s="270" t="s">
        <v>249</v>
      </c>
      <c r="B317" s="270" t="s">
        <v>310</v>
      </c>
      <c r="C317" s="270" t="s">
        <v>311</v>
      </c>
      <c r="D317" s="696" t="str">
        <f t="shared" si="36"/>
        <v>100-100-2500-6641-000-32-05</v>
      </c>
      <c r="E317" s="270" t="s">
        <v>312</v>
      </c>
      <c r="F317" s="696">
        <f t="shared" si="27"/>
        <v>0</v>
      </c>
      <c r="G317" s="696">
        <f>VLOOKUP(L317,'Function-Grant'!$C:$AM,13,'Function-Grant'!$C:$AM)</f>
        <v>0</v>
      </c>
      <c r="H317" s="271" t="s">
        <v>311</v>
      </c>
      <c r="J317" s="276" t="s">
        <v>268</v>
      </c>
      <c r="K317" s="697" t="str">
        <f t="shared" si="19"/>
        <v>2500</v>
      </c>
      <c r="L317" s="698">
        <v>6641</v>
      </c>
      <c r="M317" s="697" t="str">
        <f t="shared" si="20"/>
        <v>000</v>
      </c>
      <c r="N317" s="276" t="s">
        <v>814</v>
      </c>
    </row>
    <row r="318" spans="1:14" x14ac:dyDescent="0.2">
      <c r="A318" s="270" t="s">
        <v>249</v>
      </c>
      <c r="B318" s="270" t="s">
        <v>310</v>
      </c>
      <c r="C318" s="270" t="s">
        <v>311</v>
      </c>
      <c r="D318" s="696" t="str">
        <f t="shared" si="36"/>
        <v>100-100-2500-6642-000-32-05</v>
      </c>
      <c r="E318" s="270" t="s">
        <v>312</v>
      </c>
      <c r="F318" s="696">
        <f t="shared" si="27"/>
        <v>0</v>
      </c>
      <c r="G318" s="696">
        <f>VLOOKUP(L318,'Function-Grant'!$C:$AM,13,'Function-Grant'!$C:$AM)</f>
        <v>0</v>
      </c>
      <c r="H318" s="271" t="s">
        <v>311</v>
      </c>
      <c r="J318" s="276" t="s">
        <v>268</v>
      </c>
      <c r="K318" s="697" t="str">
        <f t="shared" si="19"/>
        <v>2500</v>
      </c>
      <c r="L318" s="698">
        <v>6642</v>
      </c>
      <c r="M318" s="697" t="str">
        <f t="shared" si="20"/>
        <v>000</v>
      </c>
      <c r="N318" s="276" t="s">
        <v>814</v>
      </c>
    </row>
    <row r="319" spans="1:14" x14ac:dyDescent="0.2">
      <c r="A319" s="270" t="s">
        <v>249</v>
      </c>
      <c r="B319" s="270" t="s">
        <v>310</v>
      </c>
      <c r="C319" s="270" t="s">
        <v>311</v>
      </c>
      <c r="D319" s="696" t="str">
        <f t="shared" si="36"/>
        <v>100-100-2500-6651-000-32-05</v>
      </c>
      <c r="E319" s="270" t="s">
        <v>312</v>
      </c>
      <c r="F319" s="696">
        <f t="shared" si="27"/>
        <v>0</v>
      </c>
      <c r="G319" s="696">
        <f>VLOOKUP(L319,'Function-Grant'!$C:$AM,13,'Function-Grant'!$C:$AM)</f>
        <v>0</v>
      </c>
      <c r="H319" s="271" t="s">
        <v>311</v>
      </c>
      <c r="J319" s="276" t="s">
        <v>268</v>
      </c>
      <c r="K319" s="697" t="str">
        <f t="shared" si="19"/>
        <v>2500</v>
      </c>
      <c r="L319" s="698">
        <v>6651</v>
      </c>
      <c r="M319" s="697" t="str">
        <f t="shared" si="20"/>
        <v>000</v>
      </c>
      <c r="N319" s="276" t="s">
        <v>814</v>
      </c>
    </row>
    <row r="320" spans="1:14" x14ac:dyDescent="0.2">
      <c r="A320" s="270" t="s">
        <v>249</v>
      </c>
      <c r="B320" s="270" t="s">
        <v>310</v>
      </c>
      <c r="C320" s="270" t="s">
        <v>311</v>
      </c>
      <c r="D320" s="696" t="str">
        <f t="shared" si="36"/>
        <v>100-100-2500-6734-000-32-05</v>
      </c>
      <c r="E320" s="270" t="s">
        <v>312</v>
      </c>
      <c r="F320" s="696">
        <f t="shared" si="27"/>
        <v>0</v>
      </c>
      <c r="G320" s="696">
        <f>VLOOKUP(L320,'Function-Grant'!$C:$AM,13,'Function-Grant'!$C:$AM)</f>
        <v>0</v>
      </c>
      <c r="H320" s="271" t="s">
        <v>311</v>
      </c>
      <c r="J320" s="276" t="s">
        <v>268</v>
      </c>
      <c r="K320" s="697" t="str">
        <f t="shared" si="19"/>
        <v>2500</v>
      </c>
      <c r="L320" s="698">
        <v>6734</v>
      </c>
      <c r="M320" s="697" t="str">
        <f t="shared" si="20"/>
        <v>000</v>
      </c>
      <c r="N320" s="276" t="s">
        <v>814</v>
      </c>
    </row>
    <row r="321" spans="1:14" x14ac:dyDescent="0.2">
      <c r="A321" s="270" t="s">
        <v>249</v>
      </c>
      <c r="B321" s="270" t="s">
        <v>310</v>
      </c>
      <c r="C321" s="270" t="s">
        <v>311</v>
      </c>
      <c r="D321" s="696" t="str">
        <f t="shared" si="36"/>
        <v>100-100-2500-6810-000-32-05</v>
      </c>
      <c r="E321" s="270" t="s">
        <v>312</v>
      </c>
      <c r="F321" s="696">
        <f t="shared" si="27"/>
        <v>0</v>
      </c>
      <c r="G321" s="696">
        <f>VLOOKUP(L321,'Function-Grant'!$C:$AM,13,'Function-Grant'!$C:$AM)</f>
        <v>0</v>
      </c>
      <c r="H321" s="271" t="s">
        <v>311</v>
      </c>
      <c r="J321" s="276" t="s">
        <v>268</v>
      </c>
      <c r="K321" s="697" t="str">
        <f t="shared" si="19"/>
        <v>2500</v>
      </c>
      <c r="L321" s="698">
        <v>6810</v>
      </c>
      <c r="M321" s="697" t="str">
        <f t="shared" si="20"/>
        <v>000</v>
      </c>
      <c r="N321" s="276" t="s">
        <v>814</v>
      </c>
    </row>
    <row r="322" spans="1:14" x14ac:dyDescent="0.2">
      <c r="A322" s="270" t="s">
        <v>249</v>
      </c>
      <c r="B322" s="270" t="s">
        <v>310</v>
      </c>
      <c r="C322" s="270" t="s">
        <v>311</v>
      </c>
      <c r="D322" s="696" t="str">
        <f t="shared" si="36"/>
        <v>100-100-2500-6810-709-32-05</v>
      </c>
      <c r="E322" s="270" t="s">
        <v>312</v>
      </c>
      <c r="F322" s="696">
        <f t="shared" si="27"/>
        <v>0</v>
      </c>
      <c r="G322" s="696">
        <f>VLOOKUP(L322,'Function-Grant'!$C:$AQ,39,'Function-Grant'!$C:$AQ)</f>
        <v>0</v>
      </c>
      <c r="H322" s="271" t="s">
        <v>311</v>
      </c>
      <c r="J322" s="276" t="s">
        <v>290</v>
      </c>
      <c r="K322" s="697" t="str">
        <f t="shared" si="19"/>
        <v>2500</v>
      </c>
      <c r="L322" s="698">
        <v>6810</v>
      </c>
      <c r="M322" s="697" t="str">
        <f t="shared" si="20"/>
        <v>709</v>
      </c>
      <c r="N322" s="276" t="s">
        <v>814</v>
      </c>
    </row>
    <row r="323" spans="1:14" x14ac:dyDescent="0.2">
      <c r="A323" s="270" t="s">
        <v>249</v>
      </c>
      <c r="B323" s="270" t="s">
        <v>310</v>
      </c>
      <c r="C323" s="270" t="s">
        <v>311</v>
      </c>
      <c r="D323" s="696" t="str">
        <f t="shared" si="36"/>
        <v>100-100-2500-7306-000-32-05</v>
      </c>
      <c r="E323" s="270" t="s">
        <v>312</v>
      </c>
      <c r="F323" s="696">
        <f t="shared" si="27"/>
        <v>0</v>
      </c>
      <c r="G323" s="696">
        <f>VLOOKUP(L323,'Function-Grant'!$C:$AM,13,'Function-Grant'!$C:$AM)</f>
        <v>0</v>
      </c>
      <c r="H323" s="271" t="s">
        <v>311</v>
      </c>
      <c r="J323" s="276" t="s">
        <v>268</v>
      </c>
      <c r="K323" s="697" t="str">
        <f t="shared" si="19"/>
        <v>2500</v>
      </c>
      <c r="L323" s="698">
        <v>7306</v>
      </c>
      <c r="M323" s="697" t="str">
        <f t="shared" si="20"/>
        <v>000</v>
      </c>
      <c r="N323" s="276" t="s">
        <v>814</v>
      </c>
    </row>
    <row r="324" spans="1:14" x14ac:dyDescent="0.2">
      <c r="A324" s="270" t="s">
        <v>249</v>
      </c>
      <c r="B324" s="270" t="s">
        <v>310</v>
      </c>
      <c r="C324" s="270" t="s">
        <v>311</v>
      </c>
      <c r="D324" s="696" t="str">
        <f t="shared" si="36"/>
        <v>100-100-2510--000-32-05</v>
      </c>
      <c r="H324" s="271" t="s">
        <v>311</v>
      </c>
      <c r="J324" s="276" t="s">
        <v>323</v>
      </c>
      <c r="K324" s="697" t="str">
        <f t="shared" si="19"/>
        <v>2510</v>
      </c>
      <c r="M324" s="697" t="str">
        <f t="shared" si="20"/>
        <v>000</v>
      </c>
      <c r="N324" s="276" t="s">
        <v>814</v>
      </c>
    </row>
    <row r="325" spans="1:14" x14ac:dyDescent="0.2">
      <c r="A325" s="270" t="s">
        <v>249</v>
      </c>
      <c r="B325" s="270" t="s">
        <v>310</v>
      </c>
      <c r="C325" s="270" t="s">
        <v>311</v>
      </c>
      <c r="D325" s="696" t="str">
        <f t="shared" si="36"/>
        <v>100-100-2510-6340-000-32-05</v>
      </c>
      <c r="E325" s="270" t="s">
        <v>312</v>
      </c>
      <c r="F325" s="696">
        <f t="shared" si="27"/>
        <v>62514.239999999998</v>
      </c>
      <c r="G325" s="696">
        <f>VLOOKUP(L325,'Function-Grant'!$C:$AM,14,'Function-Grant'!$C:$AM)</f>
        <v>62514.239999999998</v>
      </c>
      <c r="H325" s="271" t="s">
        <v>311</v>
      </c>
      <c r="J325" s="276" t="s">
        <v>323</v>
      </c>
      <c r="K325" s="697" t="str">
        <f t="shared" si="19"/>
        <v>2510</v>
      </c>
      <c r="L325" s="698">
        <v>6340</v>
      </c>
      <c r="M325" s="697" t="str">
        <f t="shared" si="20"/>
        <v>000</v>
      </c>
      <c r="N325" s="276" t="s">
        <v>814</v>
      </c>
    </row>
    <row r="326" spans="1:14" x14ac:dyDescent="0.2">
      <c r="A326" s="270" t="s">
        <v>249</v>
      </c>
      <c r="B326" s="270" t="s">
        <v>310</v>
      </c>
      <c r="C326" s="270" t="s">
        <v>311</v>
      </c>
      <c r="D326" s="696" t="str">
        <f t="shared" si="36"/>
        <v>100-100-2510-6810-000-32-05</v>
      </c>
      <c r="E326" s="270" t="s">
        <v>312</v>
      </c>
      <c r="F326" s="696">
        <f t="shared" si="27"/>
        <v>600</v>
      </c>
      <c r="G326" s="696">
        <f>VLOOKUP(L326,'Function-Grant'!$C:$AM,14,'Function-Grant'!$C:$AM)</f>
        <v>600</v>
      </c>
      <c r="H326" s="271" t="s">
        <v>311</v>
      </c>
      <c r="J326" s="276" t="s">
        <v>323</v>
      </c>
      <c r="K326" s="697" t="str">
        <f t="shared" si="19"/>
        <v>2510</v>
      </c>
      <c r="L326" s="698">
        <v>6810</v>
      </c>
      <c r="M326" s="697" t="str">
        <f t="shared" si="20"/>
        <v>000</v>
      </c>
      <c r="N326" s="276" t="s">
        <v>814</v>
      </c>
    </row>
    <row r="327" spans="1:14" x14ac:dyDescent="0.2">
      <c r="A327" s="270" t="s">
        <v>249</v>
      </c>
      <c r="B327" s="270" t="s">
        <v>310</v>
      </c>
      <c r="C327" s="270" t="s">
        <v>311</v>
      </c>
      <c r="D327" s="696" t="str">
        <f t="shared" si="36"/>
        <v>100-100-2560--000-32-05</v>
      </c>
      <c r="H327" s="271" t="s">
        <v>311</v>
      </c>
      <c r="J327" s="276" t="s">
        <v>269</v>
      </c>
      <c r="K327" s="697" t="str">
        <f t="shared" si="19"/>
        <v>2560</v>
      </c>
      <c r="M327" s="697" t="str">
        <f t="shared" si="20"/>
        <v>000</v>
      </c>
      <c r="N327" s="276" t="s">
        <v>814</v>
      </c>
    </row>
    <row r="328" spans="1:14" x14ac:dyDescent="0.2">
      <c r="A328" s="270" t="s">
        <v>249</v>
      </c>
      <c r="B328" s="270" t="s">
        <v>310</v>
      </c>
      <c r="C328" s="270" t="s">
        <v>311</v>
      </c>
      <c r="D328" s="696" t="str">
        <f t="shared" si="36"/>
        <v>100-100-2560-6345-000-32-05</v>
      </c>
      <c r="E328" s="270" t="s">
        <v>312</v>
      </c>
      <c r="F328" s="696">
        <f t="shared" si="27"/>
        <v>21900</v>
      </c>
      <c r="G328" s="696">
        <f>VLOOKUP(L328,'Function-Grant'!$C:$AM,15,'Function-Grant'!$C:$AM)</f>
        <v>21900</v>
      </c>
      <c r="H328" s="271" t="s">
        <v>311</v>
      </c>
      <c r="J328" s="276" t="s">
        <v>269</v>
      </c>
      <c r="K328" s="697" t="str">
        <f t="shared" si="19"/>
        <v>2560</v>
      </c>
      <c r="L328" s="698">
        <v>6345</v>
      </c>
      <c r="M328" s="697" t="str">
        <f t="shared" si="20"/>
        <v>000</v>
      </c>
      <c r="N328" s="276" t="s">
        <v>814</v>
      </c>
    </row>
    <row r="329" spans="1:14" x14ac:dyDescent="0.2">
      <c r="A329" s="270" t="s">
        <v>249</v>
      </c>
      <c r="B329" s="270" t="s">
        <v>310</v>
      </c>
      <c r="C329" s="270" t="s">
        <v>311</v>
      </c>
      <c r="D329" s="696" t="str">
        <f t="shared" si="36"/>
        <v>100-100-2560-6540-000-32-05</v>
      </c>
      <c r="E329" s="270" t="s">
        <v>312</v>
      </c>
      <c r="F329" s="696">
        <f t="shared" si="27"/>
        <v>47958.71</v>
      </c>
      <c r="G329" s="696">
        <f>VLOOKUP(L329,'Function-Grant'!$C:$AM,15,'Function-Grant'!$C:$AM)</f>
        <v>47958.71</v>
      </c>
      <c r="H329" s="271" t="s">
        <v>311</v>
      </c>
      <c r="J329" s="276" t="s">
        <v>269</v>
      </c>
      <c r="K329" s="697" t="str">
        <f t="shared" si="19"/>
        <v>2560</v>
      </c>
      <c r="L329" s="698">
        <v>6540</v>
      </c>
      <c r="M329" s="697" t="str">
        <f t="shared" si="20"/>
        <v>000</v>
      </c>
      <c r="N329" s="276" t="s">
        <v>814</v>
      </c>
    </row>
    <row r="330" spans="1:14" x14ac:dyDescent="0.2">
      <c r="A330" s="270" t="s">
        <v>249</v>
      </c>
      <c r="B330" s="270" t="s">
        <v>310</v>
      </c>
      <c r="C330" s="270" t="s">
        <v>311</v>
      </c>
      <c r="D330" s="696" t="str">
        <f t="shared" ref="D330" si="37">CONCATENATE("100-100-",K330,"-",L330,"-",M330,"-",N330)</f>
        <v>100-100-2560-6810-000-32-05</v>
      </c>
      <c r="E330" s="270" t="s">
        <v>312</v>
      </c>
      <c r="F330" s="696">
        <f t="shared" ref="F330" si="38">IFERROR(G330,0)</f>
        <v>3895</v>
      </c>
      <c r="G330" s="696">
        <f>VLOOKUP(L330,'Function-Grant'!$C:$AM,15,'Function-Grant'!$C:$AM)</f>
        <v>3895</v>
      </c>
      <c r="H330" s="271" t="s">
        <v>311</v>
      </c>
      <c r="J330" s="276" t="s">
        <v>269</v>
      </c>
      <c r="K330" s="697" t="str">
        <f t="shared" ref="K330" si="39">LEFT(J330,4)</f>
        <v>2560</v>
      </c>
      <c r="L330" s="698">
        <v>6810</v>
      </c>
      <c r="M330" s="697" t="str">
        <f t="shared" ref="M330" si="40">RIGHT(J330,3)</f>
        <v>000</v>
      </c>
      <c r="N330" s="276" t="s">
        <v>814</v>
      </c>
    </row>
    <row r="331" spans="1:14" x14ac:dyDescent="0.2">
      <c r="A331" s="270" t="s">
        <v>249</v>
      </c>
      <c r="B331" s="270" t="s">
        <v>310</v>
      </c>
      <c r="C331" s="270" t="s">
        <v>311</v>
      </c>
      <c r="D331" s="696" t="str">
        <f t="shared" si="36"/>
        <v>100-100-2570--000-32-05</v>
      </c>
      <c r="H331" s="271" t="s">
        <v>311</v>
      </c>
      <c r="J331" s="276" t="s">
        <v>270</v>
      </c>
      <c r="K331" s="697" t="str">
        <f t="shared" si="19"/>
        <v>2570</v>
      </c>
      <c r="M331" s="697" t="str">
        <f t="shared" si="20"/>
        <v>000</v>
      </c>
      <c r="N331" s="276" t="s">
        <v>814</v>
      </c>
    </row>
    <row r="332" spans="1:14" x14ac:dyDescent="0.2">
      <c r="A332" s="270" t="s">
        <v>249</v>
      </c>
      <c r="B332" s="270" t="s">
        <v>310</v>
      </c>
      <c r="C332" s="270" t="s">
        <v>311</v>
      </c>
      <c r="D332" s="696" t="str">
        <f t="shared" si="36"/>
        <v>100-100-2570-6540-000-32-05</v>
      </c>
      <c r="E332" s="270" t="s">
        <v>312</v>
      </c>
      <c r="F332" s="696">
        <f t="shared" si="27"/>
        <v>12500</v>
      </c>
      <c r="G332" s="696">
        <f>VLOOKUP(L332,'Function-Grant'!$C:$AM,16,'Function-Grant'!$C:$AM)</f>
        <v>12500</v>
      </c>
      <c r="H332" s="271" t="s">
        <v>311</v>
      </c>
      <c r="J332" s="276" t="s">
        <v>270</v>
      </c>
      <c r="K332" s="697" t="str">
        <f t="shared" si="19"/>
        <v>2570</v>
      </c>
      <c r="L332" s="698">
        <v>6540</v>
      </c>
      <c r="M332" s="697" t="str">
        <f t="shared" si="20"/>
        <v>000</v>
      </c>
      <c r="N332" s="276" t="s">
        <v>814</v>
      </c>
    </row>
    <row r="333" spans="1:14" x14ac:dyDescent="0.2">
      <c r="A333" s="270" t="s">
        <v>249</v>
      </c>
      <c r="B333" s="270" t="s">
        <v>310</v>
      </c>
      <c r="C333" s="270" t="s">
        <v>311</v>
      </c>
      <c r="D333" s="696" t="str">
        <f t="shared" si="36"/>
        <v>100-100-2580--000-32-05</v>
      </c>
      <c r="H333" s="271" t="s">
        <v>311</v>
      </c>
      <c r="J333" s="276" t="s">
        <v>271</v>
      </c>
      <c r="K333" s="697" t="str">
        <f t="shared" si="19"/>
        <v>2580</v>
      </c>
      <c r="M333" s="697" t="str">
        <f t="shared" si="20"/>
        <v>000</v>
      </c>
      <c r="N333" s="276" t="s">
        <v>814</v>
      </c>
    </row>
    <row r="334" spans="1:14" x14ac:dyDescent="0.2">
      <c r="A334" s="270" t="s">
        <v>249</v>
      </c>
      <c r="B334" s="270" t="s">
        <v>310</v>
      </c>
      <c r="C334" s="270" t="s">
        <v>311</v>
      </c>
      <c r="D334" s="696" t="str">
        <f t="shared" si="36"/>
        <v>100-100-2580-6350-000-32-05</v>
      </c>
      <c r="E334" s="270" t="s">
        <v>312</v>
      </c>
      <c r="F334" s="696">
        <f t="shared" si="27"/>
        <v>6200</v>
      </c>
      <c r="G334" s="696">
        <f>VLOOKUP(L334,'Function-Grant'!$C:$AM,17,'Function-Grant'!$C:$AM)</f>
        <v>6200</v>
      </c>
      <c r="H334" s="271" t="s">
        <v>311</v>
      </c>
      <c r="J334" s="276" t="s">
        <v>271</v>
      </c>
      <c r="K334" s="697" t="str">
        <f t="shared" si="19"/>
        <v>2580</v>
      </c>
      <c r="L334" s="698">
        <v>6350</v>
      </c>
      <c r="M334" s="697" t="str">
        <f t="shared" si="20"/>
        <v>000</v>
      </c>
      <c r="N334" s="276" t="s">
        <v>814</v>
      </c>
    </row>
    <row r="335" spans="1:14" x14ac:dyDescent="0.2">
      <c r="A335" s="270" t="s">
        <v>249</v>
      </c>
      <c r="B335" s="270" t="s">
        <v>310</v>
      </c>
      <c r="C335" s="270" t="s">
        <v>311</v>
      </c>
      <c r="D335" s="696" t="str">
        <f t="shared" si="36"/>
        <v>100-100-2580-6651-000-32-05</v>
      </c>
      <c r="E335" s="270" t="s">
        <v>312</v>
      </c>
      <c r="F335" s="696">
        <f t="shared" si="27"/>
        <v>45103</v>
      </c>
      <c r="G335" s="696">
        <f>VLOOKUP(L335,'Function-Grant'!$C:$AM,17,'Function-Grant'!$C:$AM)</f>
        <v>45103</v>
      </c>
      <c r="H335" s="271" t="s">
        <v>311</v>
      </c>
      <c r="J335" s="276" t="s">
        <v>271</v>
      </c>
      <c r="K335" s="697" t="str">
        <f t="shared" si="19"/>
        <v>2580</v>
      </c>
      <c r="L335" s="698">
        <v>6651</v>
      </c>
      <c r="M335" s="697" t="str">
        <f t="shared" si="20"/>
        <v>000</v>
      </c>
      <c r="N335" s="276" t="s">
        <v>814</v>
      </c>
    </row>
    <row r="336" spans="1:14" x14ac:dyDescent="0.2">
      <c r="A336" s="270" t="s">
        <v>249</v>
      </c>
      <c r="B336" s="270" t="s">
        <v>310</v>
      </c>
      <c r="C336" s="270" t="s">
        <v>311</v>
      </c>
      <c r="D336" s="696" t="str">
        <f t="shared" si="36"/>
        <v>100-100-2600--000-32-05</v>
      </c>
      <c r="H336" s="271" t="s">
        <v>311</v>
      </c>
      <c r="J336" s="276" t="s">
        <v>272</v>
      </c>
      <c r="K336" s="697" t="str">
        <f t="shared" si="19"/>
        <v>2600</v>
      </c>
      <c r="M336" s="697" t="str">
        <f t="shared" si="20"/>
        <v>000</v>
      </c>
      <c r="N336" s="276" t="s">
        <v>814</v>
      </c>
    </row>
    <row r="337" spans="1:14" x14ac:dyDescent="0.2">
      <c r="A337" s="270" t="s">
        <v>249</v>
      </c>
      <c r="B337" s="270" t="s">
        <v>310</v>
      </c>
      <c r="C337" s="270" t="s">
        <v>311</v>
      </c>
      <c r="D337" s="696" t="str">
        <f t="shared" si="36"/>
        <v>100-100-2600-6441-000-32-05</v>
      </c>
      <c r="E337" s="270" t="s">
        <v>312</v>
      </c>
      <c r="F337" s="696">
        <f t="shared" si="27"/>
        <v>0</v>
      </c>
      <c r="G337" s="696">
        <f>VLOOKUP(L337,'Function-Grant'!$C:$AM,18,'Function-Grant'!$C:$AM)</f>
        <v>0</v>
      </c>
      <c r="H337" s="271" t="s">
        <v>311</v>
      </c>
      <c r="J337" s="276" t="s">
        <v>272</v>
      </c>
      <c r="K337" s="697" t="str">
        <f t="shared" si="19"/>
        <v>2600</v>
      </c>
      <c r="L337" s="698">
        <v>6441</v>
      </c>
      <c r="M337" s="697" t="str">
        <f t="shared" si="20"/>
        <v>000</v>
      </c>
      <c r="N337" s="276" t="s">
        <v>814</v>
      </c>
    </row>
    <row r="338" spans="1:14" x14ac:dyDescent="0.2">
      <c r="A338" s="270" t="s">
        <v>249</v>
      </c>
      <c r="B338" s="270" t="s">
        <v>310</v>
      </c>
      <c r="C338" s="270" t="s">
        <v>311</v>
      </c>
      <c r="D338" s="696" t="str">
        <f t="shared" si="36"/>
        <v>100-100-2600-6810-000-32-05</v>
      </c>
      <c r="E338" s="270" t="s">
        <v>312</v>
      </c>
      <c r="F338" s="696">
        <f t="shared" si="27"/>
        <v>208</v>
      </c>
      <c r="G338" s="696">
        <f>VLOOKUP(L338,'Function-Grant'!$C:$AM,18,'Function-Grant'!$C:$AM)</f>
        <v>208</v>
      </c>
      <c r="H338" s="271" t="s">
        <v>311</v>
      </c>
      <c r="J338" s="276" t="s">
        <v>272</v>
      </c>
      <c r="K338" s="697" t="str">
        <f t="shared" si="19"/>
        <v>2600</v>
      </c>
      <c r="L338" s="698">
        <v>6810</v>
      </c>
      <c r="M338" s="697" t="str">
        <f t="shared" si="20"/>
        <v>000</v>
      </c>
      <c r="N338" s="276" t="s">
        <v>814</v>
      </c>
    </row>
    <row r="339" spans="1:14" x14ac:dyDescent="0.2">
      <c r="A339" s="270" t="s">
        <v>249</v>
      </c>
      <c r="B339" s="270" t="s">
        <v>310</v>
      </c>
      <c r="C339" s="270" t="s">
        <v>311</v>
      </c>
      <c r="D339" s="696" t="str">
        <f t="shared" si="36"/>
        <v>100-100-2610-6410-000-32-05</v>
      </c>
      <c r="E339" s="270" t="s">
        <v>312</v>
      </c>
      <c r="F339" s="696">
        <f t="shared" si="27"/>
        <v>0</v>
      </c>
      <c r="G339" s="696">
        <f>VLOOKUP(L339,'Function-Grant'!$C:$AM,19,'Function-Grant'!$C:$AM)</f>
        <v>0</v>
      </c>
      <c r="H339" s="271" t="s">
        <v>311</v>
      </c>
      <c r="J339" s="276" t="s">
        <v>273</v>
      </c>
      <c r="K339" s="697" t="str">
        <f t="shared" si="19"/>
        <v>2610</v>
      </c>
      <c r="L339" s="698">
        <v>6410</v>
      </c>
      <c r="M339" s="697" t="str">
        <f t="shared" si="20"/>
        <v>000</v>
      </c>
      <c r="N339" s="276" t="s">
        <v>814</v>
      </c>
    </row>
    <row r="340" spans="1:14" x14ac:dyDescent="0.2">
      <c r="A340" s="270" t="s">
        <v>249</v>
      </c>
      <c r="B340" s="270" t="s">
        <v>310</v>
      </c>
      <c r="C340" s="270" t="s">
        <v>311</v>
      </c>
      <c r="D340" s="696" t="str">
        <f t="shared" si="36"/>
        <v>100-100-2610-6441-000-32-05</v>
      </c>
      <c r="E340" s="270" t="s">
        <v>312</v>
      </c>
      <c r="F340" s="696">
        <f t="shared" si="27"/>
        <v>62556</v>
      </c>
      <c r="G340" s="696">
        <f>VLOOKUP(L340,'Function-Grant'!$C:$AM,19,'Function-Grant'!$C:$AM)</f>
        <v>62556</v>
      </c>
      <c r="H340" s="271" t="s">
        <v>311</v>
      </c>
      <c r="J340" s="276" t="s">
        <v>273</v>
      </c>
      <c r="K340" s="697" t="str">
        <f t="shared" si="19"/>
        <v>2610</v>
      </c>
      <c r="L340" s="698">
        <v>6441</v>
      </c>
      <c r="M340" s="697" t="str">
        <f t="shared" si="20"/>
        <v>000</v>
      </c>
      <c r="N340" s="276" t="s">
        <v>814</v>
      </c>
    </row>
    <row r="341" spans="1:14" x14ac:dyDescent="0.2">
      <c r="A341" s="270" t="s">
        <v>249</v>
      </c>
      <c r="B341" s="270" t="s">
        <v>310</v>
      </c>
      <c r="C341" s="270" t="s">
        <v>311</v>
      </c>
      <c r="D341" s="696" t="str">
        <f t="shared" si="36"/>
        <v>100-100-2610-6622-000-32-05</v>
      </c>
      <c r="E341" s="270" t="s">
        <v>312</v>
      </c>
      <c r="F341" s="696">
        <f t="shared" si="27"/>
        <v>0</v>
      </c>
      <c r="G341" s="696">
        <f>VLOOKUP(L341,'Function-Grant'!$C:$AM,19,'Function-Grant'!$C:$AM)</f>
        <v>0</v>
      </c>
      <c r="H341" s="271" t="s">
        <v>311</v>
      </c>
      <c r="J341" s="276" t="s">
        <v>273</v>
      </c>
      <c r="K341" s="697" t="str">
        <f t="shared" si="19"/>
        <v>2610</v>
      </c>
      <c r="L341" s="698">
        <v>6622</v>
      </c>
      <c r="M341" s="697" t="str">
        <f t="shared" si="20"/>
        <v>000</v>
      </c>
      <c r="N341" s="276" t="s">
        <v>814</v>
      </c>
    </row>
    <row r="342" spans="1:14" x14ac:dyDescent="0.2">
      <c r="A342" s="270" t="s">
        <v>249</v>
      </c>
      <c r="B342" s="270" t="s">
        <v>310</v>
      </c>
      <c r="C342" s="270" t="s">
        <v>311</v>
      </c>
      <c r="D342" s="696" t="str">
        <f t="shared" si="36"/>
        <v>100-100-2620-6420-000-32-05</v>
      </c>
      <c r="E342" s="270" t="s">
        <v>312</v>
      </c>
      <c r="F342" s="696">
        <f t="shared" si="27"/>
        <v>5620</v>
      </c>
      <c r="G342" s="696">
        <f>VLOOKUP(L342,'Function-Grant'!$C:$AM,20,'Function-Grant'!$C:$AM)</f>
        <v>5620</v>
      </c>
      <c r="H342" s="271" t="s">
        <v>311</v>
      </c>
      <c r="J342" s="276" t="s">
        <v>274</v>
      </c>
      <c r="K342" s="697" t="str">
        <f t="shared" si="19"/>
        <v>2620</v>
      </c>
      <c r="L342" s="698">
        <v>6420</v>
      </c>
      <c r="M342" s="697" t="str">
        <f t="shared" si="20"/>
        <v>000</v>
      </c>
      <c r="N342" s="276" t="s">
        <v>814</v>
      </c>
    </row>
    <row r="343" spans="1:14" x14ac:dyDescent="0.2">
      <c r="A343" s="270" t="s">
        <v>249</v>
      </c>
      <c r="B343" s="270" t="s">
        <v>310</v>
      </c>
      <c r="C343" s="270" t="s">
        <v>311</v>
      </c>
      <c r="D343" s="696" t="str">
        <f t="shared" si="36"/>
        <v>100-100-2620-6430-000-32-05</v>
      </c>
      <c r="E343" s="270" t="s">
        <v>312</v>
      </c>
      <c r="F343" s="696">
        <f t="shared" si="27"/>
        <v>600</v>
      </c>
      <c r="G343" s="696">
        <f>VLOOKUP(L343,'Function-Grant'!$C:$AM,20,'Function-Grant'!$C:$AM)</f>
        <v>600</v>
      </c>
      <c r="H343" s="271" t="s">
        <v>311</v>
      </c>
      <c r="J343" s="276" t="s">
        <v>274</v>
      </c>
      <c r="K343" s="697" t="str">
        <f t="shared" ref="K343:K346" si="41">LEFT(J343,4)</f>
        <v>2620</v>
      </c>
      <c r="L343" s="698">
        <v>6430</v>
      </c>
      <c r="M343" s="697" t="str">
        <f t="shared" ref="M343:M346" si="42">RIGHT(J343,3)</f>
        <v>000</v>
      </c>
      <c r="N343" s="276" t="s">
        <v>814</v>
      </c>
    </row>
    <row r="344" spans="1:14" x14ac:dyDescent="0.2">
      <c r="A344" s="270" t="s">
        <v>249</v>
      </c>
      <c r="B344" s="270" t="s">
        <v>310</v>
      </c>
      <c r="C344" s="270" t="s">
        <v>311</v>
      </c>
      <c r="D344" s="696" t="str">
        <f t="shared" si="36"/>
        <v>100-100-2700--000-32-05</v>
      </c>
      <c r="H344" s="271" t="s">
        <v>311</v>
      </c>
      <c r="J344" s="276" t="s">
        <v>333</v>
      </c>
      <c r="K344" s="697" t="str">
        <f t="shared" si="41"/>
        <v>2700</v>
      </c>
      <c r="M344" s="697" t="str">
        <f t="shared" si="42"/>
        <v>000</v>
      </c>
      <c r="N344" s="276" t="s">
        <v>814</v>
      </c>
    </row>
    <row r="345" spans="1:14" x14ac:dyDescent="0.2">
      <c r="A345" s="270" t="s">
        <v>249</v>
      </c>
      <c r="B345" s="270" t="s">
        <v>310</v>
      </c>
      <c r="C345" s="270" t="s">
        <v>311</v>
      </c>
      <c r="D345" s="696" t="str">
        <f t="shared" si="36"/>
        <v>100-100-2710-6519-000-32-05</v>
      </c>
      <c r="E345" s="270" t="s">
        <v>312</v>
      </c>
      <c r="F345" s="696">
        <f t="shared" si="27"/>
        <v>0</v>
      </c>
      <c r="G345" s="696">
        <f>VLOOKUP(L345,'Function-Grant'!$C:$AM,3,'Function-Grant'!$C:$AM)</f>
        <v>0</v>
      </c>
      <c r="H345" s="271" t="s">
        <v>311</v>
      </c>
      <c r="J345" s="276" t="s">
        <v>275</v>
      </c>
      <c r="K345" s="697" t="str">
        <f t="shared" si="41"/>
        <v>2710</v>
      </c>
      <c r="L345" s="327">
        <v>6519</v>
      </c>
      <c r="M345" s="697" t="str">
        <f t="shared" si="42"/>
        <v>000</v>
      </c>
      <c r="N345" s="276" t="s">
        <v>814</v>
      </c>
    </row>
    <row r="346" spans="1:14" x14ac:dyDescent="0.2">
      <c r="A346" s="270" t="s">
        <v>249</v>
      </c>
      <c r="B346" s="270" t="s">
        <v>310</v>
      </c>
      <c r="C346" s="270" t="s">
        <v>311</v>
      </c>
      <c r="D346" s="696" t="str">
        <f t="shared" si="36"/>
        <v>100-100-2900-6810-000-32-05</v>
      </c>
      <c r="E346" s="270" t="s">
        <v>312</v>
      </c>
      <c r="F346" s="696">
        <f t="shared" si="27"/>
        <v>12340</v>
      </c>
      <c r="G346" s="696">
        <f>VLOOKUP(L346,'Function-Grant'!$C:$AM,22,'Function-Grant'!$C:$AM)</f>
        <v>12340</v>
      </c>
      <c r="H346" s="271" t="s">
        <v>311</v>
      </c>
      <c r="J346" s="276" t="s">
        <v>276</v>
      </c>
      <c r="K346" s="697" t="str">
        <f t="shared" si="41"/>
        <v>2900</v>
      </c>
      <c r="L346" s="327">
        <v>6810</v>
      </c>
      <c r="M346" s="697" t="str">
        <f t="shared" si="42"/>
        <v>000</v>
      </c>
      <c r="N346" s="276" t="s">
        <v>814</v>
      </c>
    </row>
  </sheetData>
  <sortState ref="K5:K71">
    <sortCondition ref="K5"/>
  </sortState>
  <phoneticPr fontId="13" type="noConversion"/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M58"/>
  <sheetViews>
    <sheetView workbookViewId="0"/>
  </sheetViews>
  <sheetFormatPr defaultColWidth="8.85546875" defaultRowHeight="12.75" x14ac:dyDescent="0.2"/>
  <cols>
    <col min="1" max="1" width="1.7109375" style="119" customWidth="1"/>
    <col min="2" max="2" width="1.5703125" style="119" customWidth="1"/>
    <col min="3" max="3" width="20.85546875" style="119" bestFit="1" customWidth="1"/>
    <col min="4" max="4" width="1.28515625" style="119" customWidth="1"/>
    <col min="5" max="7" width="11.85546875" style="119" customWidth="1"/>
    <col min="8" max="8" width="2.28515625" style="119" customWidth="1"/>
    <col min="9" max="11" width="11.85546875" style="119" customWidth="1"/>
    <col min="12" max="12" width="1.85546875" style="119" customWidth="1"/>
    <col min="13" max="15" width="8.85546875" style="119"/>
    <col min="16" max="18" width="9.85546875" style="119" customWidth="1"/>
    <col min="19" max="19" width="8.85546875" style="119"/>
    <col min="20" max="20" width="21.28515625" style="119" customWidth="1"/>
    <col min="21" max="21" width="1.7109375" style="119" customWidth="1"/>
    <col min="22" max="26" width="12.7109375" style="119" customWidth="1"/>
    <col min="27" max="16384" width="8.85546875" style="119"/>
  </cols>
  <sheetData>
    <row r="1" spans="1:13" s="1" customFormat="1" ht="23.25" x14ac:dyDescent="0.35">
      <c r="A1" s="197" t="str">
        <f>'Rev &amp; Enroll'!$F$5</f>
        <v>Nevada State High School (CSO)</v>
      </c>
      <c r="B1" s="81"/>
      <c r="C1" s="17"/>
      <c r="E1" s="2"/>
      <c r="G1" s="2"/>
      <c r="I1" s="2"/>
      <c r="K1" s="2"/>
      <c r="M1" s="2"/>
    </row>
    <row r="2" spans="1:13" s="1" customFormat="1" ht="15.75" x14ac:dyDescent="0.25">
      <c r="A2" s="198" t="str">
        <f>CONCATENATE('Rev &amp; Enroll'!F7," ","Board Summary")</f>
        <v>FY21 Board Summary</v>
      </c>
      <c r="B2" s="82"/>
      <c r="C2" s="17"/>
      <c r="D2" s="13"/>
      <c r="E2" s="2"/>
      <c r="G2" s="2"/>
      <c r="I2" s="2"/>
      <c r="K2" s="2"/>
      <c r="M2" s="2"/>
    </row>
    <row r="3" spans="1:13" s="6" customFormat="1" ht="13.5" customHeight="1" x14ac:dyDescent="0.2">
      <c r="A3" s="5" t="str">
        <f>'FY21'!A3</f>
        <v>Board Approved: Proposed: 4/16/2020</v>
      </c>
      <c r="B3" s="83"/>
      <c r="C3" s="17"/>
      <c r="E3" s="7"/>
      <c r="G3" s="7"/>
      <c r="I3" s="7"/>
      <c r="K3" s="7"/>
      <c r="M3" s="7"/>
    </row>
    <row r="4" spans="1:13" s="6" customFormat="1" ht="13.5" customHeight="1" x14ac:dyDescent="0.2">
      <c r="A4" s="5"/>
      <c r="B4" s="83"/>
      <c r="C4" s="17"/>
      <c r="E4" s="7"/>
      <c r="G4" s="7"/>
      <c r="I4" s="7"/>
      <c r="K4" s="7"/>
      <c r="M4" s="7"/>
    </row>
    <row r="5" spans="1:13" ht="15.6" customHeight="1" x14ac:dyDescent="0.2">
      <c r="A5" s="120"/>
      <c r="E5" s="705" t="s">
        <v>176</v>
      </c>
      <c r="F5" s="705"/>
      <c r="G5" s="705"/>
      <c r="H5" s="705"/>
      <c r="I5" s="705"/>
      <c r="J5" s="705"/>
      <c r="K5" s="705"/>
    </row>
    <row r="6" spans="1:13" x14ac:dyDescent="0.2">
      <c r="A6" s="120"/>
    </row>
    <row r="7" spans="1:13" x14ac:dyDescent="0.2">
      <c r="A7" s="120"/>
    </row>
    <row r="8" spans="1:13" x14ac:dyDescent="0.2">
      <c r="A8" s="120"/>
    </row>
    <row r="9" spans="1:13" x14ac:dyDescent="0.2">
      <c r="A9" s="121"/>
      <c r="B9" s="122"/>
      <c r="C9" s="122"/>
      <c r="D9" s="122"/>
      <c r="E9" s="122"/>
    </row>
    <row r="10" spans="1:13" x14ac:dyDescent="0.2">
      <c r="A10" s="121"/>
      <c r="B10" s="122"/>
      <c r="C10" s="122"/>
      <c r="D10" s="122"/>
      <c r="E10" s="122"/>
    </row>
    <row r="11" spans="1:13" x14ac:dyDescent="0.2">
      <c r="B11" s="123"/>
      <c r="C11" s="123"/>
      <c r="D11" s="123"/>
      <c r="E11" s="704" t="s">
        <v>589</v>
      </c>
      <c r="F11" s="704"/>
      <c r="G11" s="704"/>
      <c r="H11" s="123"/>
      <c r="I11" s="704" t="s">
        <v>146</v>
      </c>
      <c r="J11" s="704"/>
      <c r="K11" s="704"/>
    </row>
    <row r="12" spans="1:13" x14ac:dyDescent="0.2">
      <c r="B12" s="124"/>
      <c r="C12" s="125"/>
      <c r="D12" s="125"/>
      <c r="E12" s="126" t="s">
        <v>566</v>
      </c>
      <c r="F12" s="126" t="s">
        <v>500</v>
      </c>
      <c r="G12" s="126" t="s">
        <v>147</v>
      </c>
      <c r="H12" s="127"/>
      <c r="I12" s="126" t="s">
        <v>500</v>
      </c>
      <c r="J12" s="126" t="s">
        <v>521</v>
      </c>
      <c r="K12" s="126" t="s">
        <v>147</v>
      </c>
    </row>
    <row r="13" spans="1:13" x14ac:dyDescent="0.2">
      <c r="B13" s="124" t="s">
        <v>148</v>
      </c>
      <c r="C13" s="125"/>
      <c r="D13" s="125"/>
      <c r="E13" s="128"/>
      <c r="F13" s="129"/>
      <c r="G13" s="130"/>
      <c r="I13" s="128"/>
      <c r="J13" s="129"/>
      <c r="K13" s="130"/>
    </row>
    <row r="14" spans="1:13" x14ac:dyDescent="0.2">
      <c r="B14" s="124"/>
      <c r="C14" s="131" t="s">
        <v>171</v>
      </c>
      <c r="D14" s="131"/>
      <c r="E14" s="102">
        <f>'FY21'!U13</f>
        <v>1200960</v>
      </c>
      <c r="F14" s="171">
        <f>'Revised Budget'!U13</f>
        <v>1058400.0000000002</v>
      </c>
      <c r="G14" s="103">
        <f>E14-F14</f>
        <v>142559.99999999977</v>
      </c>
      <c r="H14" s="104"/>
      <c r="I14" s="102">
        <f>'Revised Budget'!S13</f>
        <v>1587602.68</v>
      </c>
      <c r="J14" s="171">
        <f>'FY21'!S13</f>
        <v>1801433.9951999998</v>
      </c>
      <c r="K14" s="103">
        <f>J14-I14</f>
        <v>213831.31519999984</v>
      </c>
    </row>
    <row r="15" spans="1:13" x14ac:dyDescent="0.2">
      <c r="B15" s="124"/>
      <c r="C15" s="125" t="s">
        <v>170</v>
      </c>
      <c r="D15" s="125"/>
      <c r="E15" s="105">
        <f>'FY21'!U17</f>
        <v>0</v>
      </c>
      <c r="F15" s="172">
        <f>'Revised Budget'!U17</f>
        <v>0</v>
      </c>
      <c r="G15" s="106">
        <f t="shared" ref="G15:G17" si="0">E15-F15</f>
        <v>0</v>
      </c>
      <c r="H15" s="107"/>
      <c r="I15" s="105">
        <f>'Revised Budget'!S17</f>
        <v>0</v>
      </c>
      <c r="J15" s="172">
        <f>'FY21'!S17</f>
        <v>0</v>
      </c>
      <c r="K15" s="103">
        <f t="shared" ref="K15:K16" si="1">J15-I15</f>
        <v>0</v>
      </c>
    </row>
    <row r="16" spans="1:13" x14ac:dyDescent="0.2">
      <c r="B16" s="124"/>
      <c r="C16" s="131" t="s">
        <v>149</v>
      </c>
      <c r="D16" s="131"/>
      <c r="E16" s="108">
        <f>'FY21'!U22</f>
        <v>16090.869999999999</v>
      </c>
      <c r="F16" s="152">
        <f>'Revised Budget'!U22</f>
        <v>30947.293333333335</v>
      </c>
      <c r="G16" s="109">
        <f t="shared" si="0"/>
        <v>-14856.423333333336</v>
      </c>
      <c r="H16" s="110"/>
      <c r="I16" s="108">
        <f>'Revised Budget'!S22</f>
        <v>46420.94</v>
      </c>
      <c r="J16" s="152">
        <f>'FY21'!S22</f>
        <v>35237.24</v>
      </c>
      <c r="K16" s="103">
        <f t="shared" si="1"/>
        <v>-11183.700000000004</v>
      </c>
      <c r="L16" s="110"/>
    </row>
    <row r="17" spans="2:13" ht="15" x14ac:dyDescent="0.35">
      <c r="B17" s="124"/>
      <c r="C17" s="132" t="s">
        <v>150</v>
      </c>
      <c r="D17" s="132"/>
      <c r="E17" s="111">
        <f>'FY21'!U25</f>
        <v>179280</v>
      </c>
      <c r="F17" s="173">
        <f>'Revised Budget'!U25</f>
        <v>339060</v>
      </c>
      <c r="G17" s="112">
        <f t="shared" si="0"/>
        <v>-159780</v>
      </c>
      <c r="H17" s="113"/>
      <c r="I17" s="111">
        <f>'Revised Budget'!S25</f>
        <v>508590</v>
      </c>
      <c r="J17" s="173">
        <f>'FY21'!S25</f>
        <v>358560</v>
      </c>
      <c r="K17" s="112">
        <f>J17-I17</f>
        <v>-150030</v>
      </c>
      <c r="L17" s="110"/>
    </row>
    <row r="18" spans="2:13" ht="5.0999999999999996" customHeight="1" x14ac:dyDescent="0.35">
      <c r="B18" s="124"/>
      <c r="C18" s="125"/>
      <c r="D18" s="125"/>
      <c r="E18" s="133"/>
      <c r="F18" s="152"/>
      <c r="G18" s="109"/>
      <c r="H18" s="110"/>
      <c r="I18" s="108"/>
      <c r="J18" s="152"/>
      <c r="K18" s="109"/>
      <c r="L18" s="110"/>
    </row>
    <row r="19" spans="2:13" s="120" customFormat="1" ht="15" x14ac:dyDescent="0.35">
      <c r="C19" s="124" t="s">
        <v>105</v>
      </c>
      <c r="D19" s="124"/>
      <c r="E19" s="133">
        <f>SUM(E14:E17)</f>
        <v>1396330.87</v>
      </c>
      <c r="F19" s="174">
        <f>SUM(F14:F17)</f>
        <v>1428407.2933333335</v>
      </c>
      <c r="G19" s="134">
        <f>SUM(G14:G17)</f>
        <v>-32076.423333333572</v>
      </c>
      <c r="H19" s="135"/>
      <c r="I19" s="133">
        <f>SUM(I14:I17)</f>
        <v>2142613.62</v>
      </c>
      <c r="J19" s="174">
        <f>SUM(J14:J17)</f>
        <v>2195231.2352</v>
      </c>
      <c r="K19" s="134">
        <f>SUM(K14:K17)</f>
        <v>52617.615199999826</v>
      </c>
      <c r="L19" s="136"/>
      <c r="M19" s="372"/>
    </row>
    <row r="20" spans="2:13" ht="5.0999999999999996" customHeight="1" x14ac:dyDescent="0.2">
      <c r="B20" s="120"/>
      <c r="E20" s="108"/>
      <c r="F20" s="152"/>
      <c r="G20" s="109"/>
      <c r="H20" s="110"/>
      <c r="I20" s="108"/>
      <c r="J20" s="152"/>
      <c r="K20" s="109"/>
      <c r="L20" s="110"/>
    </row>
    <row r="21" spans="2:13" x14ac:dyDescent="0.2">
      <c r="B21" s="120" t="s">
        <v>59</v>
      </c>
      <c r="E21" s="114"/>
      <c r="F21" s="154"/>
      <c r="G21" s="115"/>
      <c r="H21" s="155"/>
      <c r="I21" s="114"/>
      <c r="J21" s="153"/>
      <c r="K21" s="115"/>
      <c r="L21" s="110"/>
    </row>
    <row r="22" spans="2:13" x14ac:dyDescent="0.2">
      <c r="B22" s="120"/>
      <c r="C22" s="119" t="s">
        <v>174</v>
      </c>
      <c r="E22" s="114">
        <f>'FY21'!U41</f>
        <v>776392.65933333337</v>
      </c>
      <c r="F22" s="154">
        <f>'Revised Budget'!U41</f>
        <v>646562.04094444448</v>
      </c>
      <c r="G22" s="115">
        <f>F22-E22</f>
        <v>-129830.61838888889</v>
      </c>
      <c r="H22" s="116"/>
      <c r="I22" s="114">
        <f>'Revised Budget'!S41</f>
        <v>969843.06141666661</v>
      </c>
      <c r="J22" s="153">
        <f>'FY21'!S41</f>
        <v>1192442.9889999998</v>
      </c>
      <c r="K22" s="115">
        <f>J22-I22</f>
        <v>222599.92758333322</v>
      </c>
      <c r="L22" s="110"/>
    </row>
    <row r="23" spans="2:13" x14ac:dyDescent="0.2">
      <c r="B23" s="120"/>
      <c r="C23" s="119" t="s">
        <v>173</v>
      </c>
      <c r="E23" s="108">
        <f>'FY21'!U62</f>
        <v>229135.262387</v>
      </c>
      <c r="F23" s="175">
        <f>'Revised Budget'!U62</f>
        <v>194378.02771497218</v>
      </c>
      <c r="G23" s="109">
        <f t="shared" ref="G23:G30" si="2">F23-E23</f>
        <v>-34757.234672027815</v>
      </c>
      <c r="H23" s="110"/>
      <c r="I23" s="108">
        <f>'Revised Budget'!S62</f>
        <v>291567.04157245834</v>
      </c>
      <c r="J23" s="152">
        <f>'FY21'!S62</f>
        <v>344106.77658050007</v>
      </c>
      <c r="K23" s="115">
        <f t="shared" ref="K23:K29" si="3">J23-I23</f>
        <v>52539.735008041724</v>
      </c>
      <c r="L23" s="110"/>
    </row>
    <row r="24" spans="2:13" x14ac:dyDescent="0.2">
      <c r="B24" s="120"/>
      <c r="C24" s="137" t="s">
        <v>175</v>
      </c>
      <c r="D24" s="137"/>
      <c r="E24" s="108">
        <f>'FY21'!U74</f>
        <v>197076.24</v>
      </c>
      <c r="F24" s="175">
        <f>'Revised Budget'!U74</f>
        <v>202180.66666666672</v>
      </c>
      <c r="G24" s="109">
        <f t="shared" si="2"/>
        <v>5104.4266666667245</v>
      </c>
      <c r="H24" s="110"/>
      <c r="I24" s="108">
        <f>'Revised Budget'!S74</f>
        <v>303271</v>
      </c>
      <c r="J24" s="152">
        <f>'FY21'!S74</f>
        <v>264656.24</v>
      </c>
      <c r="K24" s="115">
        <f t="shared" si="3"/>
        <v>-38614.760000000009</v>
      </c>
      <c r="L24" s="110"/>
    </row>
    <row r="25" spans="2:13" x14ac:dyDescent="0.2">
      <c r="C25" s="137" t="s">
        <v>172</v>
      </c>
      <c r="D25" s="137"/>
      <c r="E25" s="108">
        <f>'FY21'!U80</f>
        <v>78519</v>
      </c>
      <c r="F25" s="175">
        <f>'Revised Budget'!U80</f>
        <v>86612</v>
      </c>
      <c r="G25" s="109">
        <f t="shared" si="2"/>
        <v>8093</v>
      </c>
      <c r="H25" s="110"/>
      <c r="I25" s="108">
        <f>'Revised Budget'!S80</f>
        <v>129918.00000000001</v>
      </c>
      <c r="J25" s="152">
        <f>'FY21'!S80</f>
        <v>109976</v>
      </c>
      <c r="K25" s="115">
        <f t="shared" si="3"/>
        <v>-19942.000000000015</v>
      </c>
      <c r="L25" s="110"/>
    </row>
    <row r="26" spans="2:13" x14ac:dyDescent="0.2">
      <c r="C26" s="137" t="s">
        <v>101</v>
      </c>
      <c r="D26" s="137"/>
      <c r="E26" s="108">
        <f>'FY21'!U94</f>
        <v>126001.80333333332</v>
      </c>
      <c r="F26" s="175">
        <f>'Revised Budget'!U94</f>
        <v>122610.62666666669</v>
      </c>
      <c r="G26" s="109">
        <f t="shared" si="2"/>
        <v>-3391.1766666666226</v>
      </c>
      <c r="H26" s="110"/>
      <c r="I26" s="108">
        <f>'Revised Budget'!S94</f>
        <v>183915.94</v>
      </c>
      <c r="J26" s="152">
        <f>'FY21'!S94</f>
        <v>188714.99</v>
      </c>
      <c r="K26" s="115">
        <f t="shared" si="3"/>
        <v>4799.0499999999884</v>
      </c>
      <c r="L26" s="110"/>
    </row>
    <row r="27" spans="2:13" x14ac:dyDescent="0.2">
      <c r="C27" s="137" t="s">
        <v>102</v>
      </c>
      <c r="D27" s="137"/>
      <c r="E27" s="108">
        <f>'FY21'!U103</f>
        <v>49503</v>
      </c>
      <c r="F27" s="175">
        <f>'Revised Budget'!U103</f>
        <v>45797.333333333328</v>
      </c>
      <c r="G27" s="109">
        <f t="shared" si="2"/>
        <v>-3705.6666666666715</v>
      </c>
      <c r="H27" s="110"/>
      <c r="I27" s="108">
        <f>'Revised Budget'!S103</f>
        <v>68696</v>
      </c>
      <c r="J27" s="152">
        <f>'FY21'!S103</f>
        <v>59733</v>
      </c>
      <c r="K27" s="115">
        <f t="shared" si="3"/>
        <v>-8963</v>
      </c>
      <c r="L27" s="110"/>
    </row>
    <row r="28" spans="2:13" x14ac:dyDescent="0.2">
      <c r="C28" s="137" t="s">
        <v>103</v>
      </c>
      <c r="D28" s="137"/>
      <c r="E28" s="108">
        <f>'FY21'!U106</f>
        <v>0</v>
      </c>
      <c r="F28" s="175">
        <f>'Revised Budget'!U106</f>
        <v>0</v>
      </c>
      <c r="G28" s="109">
        <f t="shared" si="2"/>
        <v>0</v>
      </c>
      <c r="H28" s="110"/>
      <c r="I28" s="108">
        <f>'Revised Budget'!S106</f>
        <v>0</v>
      </c>
      <c r="J28" s="152">
        <f>'FY21'!S106</f>
        <v>0</v>
      </c>
      <c r="K28" s="115">
        <f t="shared" si="3"/>
        <v>0</v>
      </c>
      <c r="L28" s="110"/>
    </row>
    <row r="29" spans="2:13" x14ac:dyDescent="0.2">
      <c r="C29" s="137" t="s">
        <v>104</v>
      </c>
      <c r="D29" s="137"/>
      <c r="E29" s="108">
        <f>'FY21'!U109</f>
        <v>15613</v>
      </c>
      <c r="F29" s="175">
        <f>'Revised Budget'!U109</f>
        <v>14052.666666666668</v>
      </c>
      <c r="G29" s="109">
        <f t="shared" si="2"/>
        <v>-1560.3333333333321</v>
      </c>
      <c r="H29" s="110"/>
      <c r="I29" s="108">
        <f>'Revised Budget'!S109</f>
        <v>21079</v>
      </c>
      <c r="J29" s="152">
        <f>'FY21'!S109</f>
        <v>17043</v>
      </c>
      <c r="K29" s="115">
        <f t="shared" si="3"/>
        <v>-4036</v>
      </c>
      <c r="L29" s="110"/>
    </row>
    <row r="30" spans="2:13" ht="15" x14ac:dyDescent="0.35">
      <c r="C30" s="137" t="s">
        <v>43</v>
      </c>
      <c r="D30" s="137"/>
      <c r="E30" s="607">
        <f>'FY21'!U113</f>
        <v>0</v>
      </c>
      <c r="F30" s="176">
        <f>'Revised Budget'!U113</f>
        <v>0</v>
      </c>
      <c r="G30" s="112">
        <f t="shared" si="2"/>
        <v>0</v>
      </c>
      <c r="H30" s="110"/>
      <c r="I30" s="607">
        <f>'Revised Budget'!S113</f>
        <v>0</v>
      </c>
      <c r="J30" s="173">
        <f>'FY21'!S113</f>
        <v>0</v>
      </c>
      <c r="K30" s="112">
        <f>J30-I30</f>
        <v>0</v>
      </c>
      <c r="L30" s="110"/>
    </row>
    <row r="31" spans="2:13" ht="5.0999999999999996" customHeight="1" x14ac:dyDescent="0.2">
      <c r="E31" s="108"/>
      <c r="F31" s="152"/>
      <c r="G31" s="109"/>
      <c r="H31" s="110"/>
      <c r="I31" s="108"/>
      <c r="J31" s="152"/>
      <c r="K31" s="109"/>
      <c r="L31" s="110"/>
    </row>
    <row r="32" spans="2:13" s="120" customFormat="1" ht="15" x14ac:dyDescent="0.35">
      <c r="C32" s="124" t="s">
        <v>107</v>
      </c>
      <c r="D32" s="124"/>
      <c r="E32" s="133">
        <f>ROUND(SUM(E22:E31),0)</f>
        <v>1472241</v>
      </c>
      <c r="F32" s="174">
        <f>ROUND(SUM(F22:F31),0)</f>
        <v>1312193</v>
      </c>
      <c r="G32" s="134">
        <f>SUM(G22:G31)</f>
        <v>-160047.60306091662</v>
      </c>
      <c r="H32" s="135"/>
      <c r="I32" s="133">
        <f>ROUND(SUM(I22:I31),0)</f>
        <v>1968290</v>
      </c>
      <c r="J32" s="174">
        <f>ROUND(SUM(J22:J31),0)</f>
        <v>2176673</v>
      </c>
      <c r="K32" s="134">
        <f>SUM(K22:K31)</f>
        <v>208382.95259137492</v>
      </c>
      <c r="L32" s="136"/>
      <c r="M32" s="119"/>
    </row>
    <row r="33" spans="2:13" x14ac:dyDescent="0.2">
      <c r="B33" s="124"/>
      <c r="C33" s="125"/>
      <c r="D33" s="125"/>
      <c r="E33" s="138"/>
      <c r="F33" s="236"/>
      <c r="G33" s="139"/>
      <c r="H33" s="140"/>
      <c r="I33" s="138"/>
      <c r="J33" s="236"/>
      <c r="K33" s="139"/>
    </row>
    <row r="34" spans="2:13" s="141" customFormat="1" x14ac:dyDescent="0.2">
      <c r="C34" s="141" t="s">
        <v>151</v>
      </c>
      <c r="E34" s="138">
        <f>E19-E32</f>
        <v>-75910.129999999888</v>
      </c>
      <c r="F34" s="236">
        <f>F19-F32</f>
        <v>116214.29333333345</v>
      </c>
      <c r="G34" s="139">
        <f>G19+G32</f>
        <v>-192124.02639425019</v>
      </c>
      <c r="H34" s="140"/>
      <c r="I34" s="138">
        <f>I19-I32</f>
        <v>174323.62000000011</v>
      </c>
      <c r="J34" s="236">
        <f>J19-J32</f>
        <v>18558.235199999996</v>
      </c>
      <c r="K34" s="139">
        <f>K19-K32</f>
        <v>-155765.3373913751</v>
      </c>
    </row>
    <row r="35" spans="2:13" s="141" customFormat="1" ht="5.0999999999999996" customHeight="1" x14ac:dyDescent="0.2">
      <c r="E35" s="142"/>
      <c r="F35" s="234"/>
      <c r="G35" s="143"/>
      <c r="I35" s="142"/>
      <c r="J35" s="234"/>
      <c r="K35" s="143"/>
    </row>
    <row r="36" spans="2:13" s="141" customFormat="1" ht="15" x14ac:dyDescent="0.35">
      <c r="C36" s="144" t="s">
        <v>152</v>
      </c>
      <c r="E36" s="145">
        <f>Budget!$E$33</f>
        <v>926363</v>
      </c>
      <c r="F36" s="237">
        <f>E36</f>
        <v>926363</v>
      </c>
      <c r="G36" s="143"/>
      <c r="H36" s="146"/>
      <c r="I36" s="145">
        <f>E36</f>
        <v>926363</v>
      </c>
      <c r="J36" s="237">
        <f>E36</f>
        <v>926363</v>
      </c>
      <c r="K36" s="143"/>
    </row>
    <row r="37" spans="2:13" s="141" customFormat="1" ht="18" customHeight="1" x14ac:dyDescent="0.35">
      <c r="C37" s="147" t="s">
        <v>153</v>
      </c>
      <c r="E37" s="148">
        <f>E34+E36</f>
        <v>850452.87000000011</v>
      </c>
      <c r="F37" s="233">
        <f>F34+F36</f>
        <v>1042577.2933333335</v>
      </c>
      <c r="G37" s="143"/>
      <c r="H37" s="149"/>
      <c r="I37" s="148">
        <f>I34+I36</f>
        <v>1100686.6200000001</v>
      </c>
      <c r="J37" s="233">
        <f>J34+J36</f>
        <v>944921.2352</v>
      </c>
      <c r="K37" s="143"/>
    </row>
    <row r="38" spans="2:13" s="117" customFormat="1" ht="4.9000000000000004" customHeight="1" x14ac:dyDescent="0.2">
      <c r="C38" s="118"/>
      <c r="E38" s="243"/>
      <c r="F38" s="244"/>
      <c r="G38" s="245"/>
      <c r="H38" s="223"/>
      <c r="I38" s="243"/>
      <c r="J38" s="244"/>
      <c r="K38" s="246"/>
    </row>
    <row r="39" spans="2:13" s="117" customFormat="1" ht="13.35" customHeight="1" x14ac:dyDescent="0.2"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</row>
    <row r="40" spans="2:13" s="141" customFormat="1" x14ac:dyDescent="0.2">
      <c r="E40" s="241" t="s">
        <v>178</v>
      </c>
      <c r="F40" s="232"/>
      <c r="G40" s="232"/>
    </row>
    <row r="41" spans="2:13" s="141" customFormat="1" x14ac:dyDescent="0.2">
      <c r="E41" s="242" t="s">
        <v>250</v>
      </c>
      <c r="G41" s="232"/>
      <c r="I41" s="602">
        <f>I37/(I32-I30)*365</f>
        <v>204.11149591777638</v>
      </c>
      <c r="J41" s="602">
        <f>J37/(J32-J30)*365</f>
        <v>158.45110903107633</v>
      </c>
    </row>
    <row r="42" spans="2:13" s="141" customFormat="1" x14ac:dyDescent="0.2">
      <c r="E42" s="242" t="s">
        <v>179</v>
      </c>
      <c r="G42" s="232"/>
      <c r="H42" s="232"/>
      <c r="I42" s="601">
        <f>Budget!F41</f>
        <v>0.69599999999999995</v>
      </c>
      <c r="J42" s="604">
        <f>Budget!G41</f>
        <v>0.8</v>
      </c>
    </row>
    <row r="43" spans="2:13" s="141" customFormat="1" x14ac:dyDescent="0.2">
      <c r="E43" s="242" t="s">
        <v>180</v>
      </c>
      <c r="G43" s="232"/>
      <c r="H43" s="232"/>
      <c r="I43" s="601">
        <f>+I34/I19</f>
        <v>8.1360268773051164E-2</v>
      </c>
      <c r="J43" s="604">
        <f>+J34/J19</f>
        <v>8.4538862705774223E-3</v>
      </c>
    </row>
    <row r="44" spans="2:13" s="141" customFormat="1" x14ac:dyDescent="0.2">
      <c r="E44" s="242" t="s">
        <v>181</v>
      </c>
      <c r="G44" s="232"/>
      <c r="H44" s="232"/>
      <c r="I44" s="598" t="s">
        <v>338</v>
      </c>
      <c r="J44" s="605" t="s">
        <v>338</v>
      </c>
    </row>
    <row r="45" spans="2:13" s="141" customFormat="1" x14ac:dyDescent="0.2">
      <c r="E45" s="242" t="s">
        <v>182</v>
      </c>
      <c r="G45" s="232"/>
      <c r="H45" s="232"/>
      <c r="I45" s="598" t="s">
        <v>338</v>
      </c>
      <c r="J45" s="605" t="s">
        <v>338</v>
      </c>
    </row>
    <row r="46" spans="2:13" ht="5.0999999999999996" customHeight="1" x14ac:dyDescent="0.2">
      <c r="G46" s="232"/>
      <c r="I46" s="606"/>
      <c r="J46" s="150"/>
    </row>
    <row r="47" spans="2:13" ht="15" customHeight="1" x14ac:dyDescent="0.2"/>
    <row r="53" spans="3:4" x14ac:dyDescent="0.2">
      <c r="C53" s="151"/>
      <c r="D53" s="151"/>
    </row>
    <row r="54" spans="3:4" x14ac:dyDescent="0.2">
      <c r="C54" s="151"/>
      <c r="D54" s="151"/>
    </row>
    <row r="55" spans="3:4" x14ac:dyDescent="0.2">
      <c r="C55" s="151"/>
      <c r="D55" s="151"/>
    </row>
    <row r="56" spans="3:4" x14ac:dyDescent="0.2">
      <c r="C56" s="151"/>
      <c r="D56" s="151"/>
    </row>
    <row r="57" spans="3:4" x14ac:dyDescent="0.2">
      <c r="C57" s="151"/>
      <c r="D57" s="151"/>
    </row>
    <row r="58" spans="3:4" ht="5.0999999999999996" customHeight="1" x14ac:dyDescent="0.2"/>
  </sheetData>
  <mergeCells count="3">
    <mergeCell ref="E11:G11"/>
    <mergeCell ref="I11:K11"/>
    <mergeCell ref="E5:K5"/>
  </mergeCells>
  <printOptions horizontalCentered="1"/>
  <pageMargins left="0.3" right="0.2" top="0.35" bottom="0.25" header="0.3" footer="0.3"/>
  <pageSetup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A1:P288"/>
  <sheetViews>
    <sheetView workbookViewId="0">
      <selection sqref="A1:XFD1048576"/>
    </sheetView>
  </sheetViews>
  <sheetFormatPr defaultColWidth="8.85546875" defaultRowHeight="15" x14ac:dyDescent="0.25"/>
  <cols>
    <col min="1" max="1" width="3.140625" style="14" customWidth="1"/>
    <col min="2" max="2" width="2.140625" style="88" customWidth="1"/>
    <col min="3" max="3" width="7.85546875" style="20" customWidth="1"/>
    <col min="4" max="4" width="32.140625" style="14" customWidth="1"/>
    <col min="5" max="5" width="10.85546875" style="14" customWidth="1"/>
    <col min="6" max="6" width="1" style="14" customWidth="1"/>
    <col min="7" max="7" width="10.85546875" style="14" customWidth="1"/>
    <col min="8" max="8" width="1" style="14" customWidth="1"/>
    <col min="9" max="9" width="10.85546875" style="14" customWidth="1"/>
    <col min="10" max="10" width="1" style="14" customWidth="1"/>
    <col min="11" max="11" width="10.85546875" style="14" customWidth="1"/>
    <col min="12" max="12" width="1" style="14" customWidth="1"/>
    <col min="13" max="13" width="11.5703125" style="14" customWidth="1"/>
    <col min="14" max="16384" width="8.85546875" style="14"/>
  </cols>
  <sheetData>
    <row r="1" spans="1:13" s="1" customFormat="1" ht="21" x14ac:dyDescent="0.35">
      <c r="A1" s="11" t="str">
        <f>'Rev &amp; Enroll'!$F$5</f>
        <v>Nevada State High School (CSO)</v>
      </c>
      <c r="B1" s="81"/>
      <c r="C1" s="17"/>
      <c r="E1" s="2"/>
      <c r="G1" s="2"/>
      <c r="I1" s="2"/>
      <c r="K1" s="2"/>
      <c r="M1" s="2"/>
    </row>
    <row r="2" spans="1:13" s="1" customFormat="1" x14ac:dyDescent="0.25">
      <c r="A2" s="12" t="s">
        <v>137</v>
      </c>
      <c r="B2" s="82"/>
      <c r="C2" s="17"/>
      <c r="D2" s="13"/>
      <c r="E2" s="2"/>
      <c r="G2" s="2"/>
      <c r="I2" s="2"/>
      <c r="K2" s="2"/>
      <c r="M2" s="2"/>
    </row>
    <row r="3" spans="1:13" s="6" customFormat="1" ht="13.5" customHeight="1" x14ac:dyDescent="0.2">
      <c r="A3" s="5" t="str">
        <f>'FY21'!A3</f>
        <v>Board Approved: Proposed: 4/16/2020</v>
      </c>
      <c r="B3" s="83"/>
      <c r="C3" s="17"/>
      <c r="E3" s="7"/>
      <c r="G3" s="7"/>
      <c r="I3" s="7"/>
      <c r="K3" s="7"/>
      <c r="M3" s="7"/>
    </row>
    <row r="4" spans="1:13" s="9" customFormat="1" ht="12" x14ac:dyDescent="0.25">
      <c r="B4" s="84"/>
      <c r="C4" s="19"/>
      <c r="D4" s="10"/>
      <c r="E4" s="33" t="str">
        <f>'Rev &amp; Enroll'!F7</f>
        <v>FY21</v>
      </c>
      <c r="G4" s="33" t="str">
        <f>'Rev &amp; Enroll'!H7</f>
        <v>FY22</v>
      </c>
      <c r="I4" s="33" t="str">
        <f>'Rev &amp; Enroll'!J7</f>
        <v>FY23</v>
      </c>
      <c r="K4" s="33" t="str">
        <f>'Rev &amp; Enroll'!L7</f>
        <v>FY24</v>
      </c>
      <c r="M4" s="33" t="str">
        <f>'Rev &amp; Enroll'!N7</f>
        <v>FY25</v>
      </c>
    </row>
    <row r="5" spans="1:13" s="54" customFormat="1" ht="12" x14ac:dyDescent="0.2">
      <c r="B5" s="85" t="s">
        <v>141</v>
      </c>
      <c r="C5" s="79"/>
      <c r="D5" s="10"/>
      <c r="E5" s="80"/>
      <c r="F5" s="80"/>
      <c r="G5" s="80"/>
      <c r="H5" s="80"/>
      <c r="I5" s="80"/>
      <c r="J5" s="80"/>
      <c r="K5" s="80"/>
      <c r="L5" s="80"/>
      <c r="M5" s="80"/>
    </row>
    <row r="6" spans="1:13" s="54" customFormat="1" ht="12" x14ac:dyDescent="0.2">
      <c r="B6" s="85"/>
      <c r="C6" s="79"/>
      <c r="D6" s="89" t="s">
        <v>142</v>
      </c>
      <c r="E6" s="90">
        <f>'Rev &amp; Enroll'!F24</f>
        <v>834</v>
      </c>
      <c r="F6" s="90"/>
      <c r="G6" s="90">
        <f>'Rev &amp; Enroll'!H24</f>
        <v>904.88999999999987</v>
      </c>
      <c r="H6" s="90"/>
      <c r="I6" s="90">
        <f>'Rev &amp; Enroll'!J24</f>
        <v>977.20401239833336</v>
      </c>
      <c r="J6" s="90"/>
      <c r="K6" s="90">
        <f>'Rev &amp; Enroll'!L24</f>
        <v>1037.2885468428883</v>
      </c>
      <c r="L6" s="90"/>
      <c r="M6" s="91">
        <f>'Rev &amp; Enroll'!N24</f>
        <v>1096.7322752035905</v>
      </c>
    </row>
    <row r="7" spans="1:13" s="54" customFormat="1" ht="12" x14ac:dyDescent="0.2">
      <c r="B7" s="85"/>
      <c r="C7" s="79"/>
      <c r="D7" s="92" t="s">
        <v>143</v>
      </c>
      <c r="E7" s="93">
        <f>'Rev &amp; Enroll'!F37</f>
        <v>2160</v>
      </c>
      <c r="F7" s="93"/>
      <c r="G7" s="93">
        <f>'Rev &amp; Enroll'!H37</f>
        <v>2160</v>
      </c>
      <c r="H7" s="93"/>
      <c r="I7" s="93">
        <f>'Rev &amp; Enroll'!J37</f>
        <v>2160</v>
      </c>
      <c r="J7" s="93"/>
      <c r="K7" s="93">
        <f>'Rev &amp; Enroll'!L37</f>
        <v>2160</v>
      </c>
      <c r="L7" s="93"/>
      <c r="M7" s="94">
        <f>'Rev &amp; Enroll'!N37</f>
        <v>2160</v>
      </c>
    </row>
    <row r="8" spans="1:13" s="54" customFormat="1" ht="12" x14ac:dyDescent="0.2">
      <c r="B8" s="85"/>
      <c r="C8" s="79"/>
      <c r="D8" s="95" t="s">
        <v>188</v>
      </c>
      <c r="E8" s="96" t="s">
        <v>84</v>
      </c>
      <c r="F8" s="97"/>
      <c r="G8" s="212">
        <f>'Rev &amp; Enroll'!H34</f>
        <v>8.5000000000000006E-2</v>
      </c>
      <c r="H8" s="212"/>
      <c r="I8" s="212">
        <f>'Rev &amp; Enroll'!J34</f>
        <v>7.9914699464391795E-2</v>
      </c>
      <c r="J8" s="212"/>
      <c r="K8" s="212">
        <f>'Rev &amp; Enroll'!L34</f>
        <v>6.1486172469851615E-2</v>
      </c>
      <c r="L8" s="212"/>
      <c r="M8" s="213">
        <f>'Rev &amp; Enroll'!N34</f>
        <v>5.7306839588296035E-2</v>
      </c>
    </row>
    <row r="9" spans="1:13" s="54" customFormat="1" ht="12" x14ac:dyDescent="0.2">
      <c r="B9" s="85"/>
      <c r="C9" s="79"/>
      <c r="D9" s="92" t="s">
        <v>144</v>
      </c>
      <c r="E9" s="208" t="s">
        <v>84</v>
      </c>
      <c r="F9" s="93"/>
      <c r="G9" s="209">
        <f>Payroll!Y7</f>
        <v>0.02</v>
      </c>
      <c r="H9" s="210"/>
      <c r="I9" s="209">
        <f>Payroll!AA7</f>
        <v>0.02</v>
      </c>
      <c r="J9" s="210"/>
      <c r="K9" s="209">
        <f>Payroll!AC7</f>
        <v>0.02</v>
      </c>
      <c r="L9" s="210"/>
      <c r="M9" s="211">
        <f>Payroll!AE7</f>
        <v>0.02</v>
      </c>
    </row>
    <row r="10" spans="1:13" s="54" customFormat="1" ht="12" x14ac:dyDescent="0.2">
      <c r="B10" s="85"/>
      <c r="C10" s="79"/>
      <c r="D10" s="214" t="s">
        <v>145</v>
      </c>
      <c r="E10" s="215" t="s">
        <v>84</v>
      </c>
      <c r="F10" s="216"/>
      <c r="G10" s="217">
        <v>0.02</v>
      </c>
      <c r="H10" s="218"/>
      <c r="I10" s="217">
        <v>0.02</v>
      </c>
      <c r="J10" s="218"/>
      <c r="K10" s="217">
        <v>0.02</v>
      </c>
      <c r="L10" s="218"/>
      <c r="M10" s="219">
        <v>0.02</v>
      </c>
    </row>
    <row r="11" spans="1:13" s="54" customFormat="1" ht="12" x14ac:dyDescent="0.2">
      <c r="B11" s="85"/>
      <c r="C11" s="79"/>
      <c r="D11" s="10"/>
      <c r="E11" s="80"/>
      <c r="F11" s="80"/>
      <c r="G11" s="80"/>
      <c r="H11" s="80"/>
      <c r="I11" s="80"/>
      <c r="J11" s="80"/>
      <c r="K11" s="80"/>
      <c r="L11" s="80"/>
      <c r="M11" s="80"/>
    </row>
    <row r="12" spans="1:13" s="37" customFormat="1" ht="12" x14ac:dyDescent="0.2">
      <c r="B12" s="45" t="s">
        <v>58</v>
      </c>
      <c r="C12" s="38"/>
      <c r="E12" s="39"/>
      <c r="F12" s="39"/>
      <c r="G12" s="39"/>
      <c r="H12" s="39"/>
      <c r="I12" s="39"/>
      <c r="J12" s="39"/>
      <c r="K12" s="39"/>
      <c r="L12" s="39"/>
      <c r="M12" s="39"/>
    </row>
    <row r="13" spans="1:13" s="37" customFormat="1" ht="12" x14ac:dyDescent="0.2">
      <c r="B13" s="45"/>
      <c r="C13" s="49" t="s">
        <v>169</v>
      </c>
      <c r="E13" s="39"/>
      <c r="F13" s="39"/>
      <c r="G13" s="39"/>
      <c r="H13" s="39"/>
      <c r="I13" s="39"/>
      <c r="J13" s="39"/>
      <c r="K13" s="39"/>
      <c r="L13" s="39"/>
      <c r="M13" s="39"/>
    </row>
    <row r="14" spans="1:13" s="37" customFormat="1" ht="12" x14ac:dyDescent="0.2">
      <c r="B14" s="86"/>
      <c r="C14" s="205">
        <v>1110</v>
      </c>
      <c r="D14" s="37" t="s">
        <v>0</v>
      </c>
      <c r="E14" s="180">
        <f>'FY21'!S8</f>
        <v>475578.57473280001</v>
      </c>
      <c r="F14" s="180"/>
      <c r="G14" s="180">
        <f>'FY22'!S8</f>
        <v>516002.75358508807</v>
      </c>
      <c r="H14" s="180"/>
      <c r="I14" s="180">
        <f>'FY23'!S8</f>
        <v>557238.95856063906</v>
      </c>
      <c r="J14" s="180"/>
      <c r="K14" s="180">
        <f>'FY24'!S8</f>
        <v>591501.44927361899</v>
      </c>
      <c r="L14" s="180"/>
      <c r="M14" s="180">
        <f>'FY25'!S8</f>
        <v>625398.52794338681</v>
      </c>
    </row>
    <row r="15" spans="1:13" s="37" customFormat="1" ht="12" x14ac:dyDescent="0.2">
      <c r="B15" s="86"/>
      <c r="C15" s="205">
        <v>1120</v>
      </c>
      <c r="D15" s="37" t="s">
        <v>1</v>
      </c>
      <c r="E15" s="180">
        <f>'FY21'!S9</f>
        <v>522415.85860799992</v>
      </c>
      <c r="F15" s="180"/>
      <c r="G15" s="180">
        <f>'FY22'!S9</f>
        <v>566821.20658967982</v>
      </c>
      <c r="H15" s="180"/>
      <c r="I15" s="180">
        <f>'FY23'!S9</f>
        <v>612118.55296433799</v>
      </c>
      <c r="J15" s="180"/>
      <c r="K15" s="180">
        <f>'FY24'!S9</f>
        <v>649755.37988389935</v>
      </c>
      <c r="L15" s="180"/>
      <c r="M15" s="180">
        <f>'FY25'!S9</f>
        <v>686990.80721053854</v>
      </c>
    </row>
    <row r="16" spans="1:13" s="37" customFormat="1" ht="12" x14ac:dyDescent="0.2">
      <c r="B16" s="86"/>
      <c r="C16" s="205">
        <v>1191</v>
      </c>
      <c r="D16" s="37" t="s">
        <v>2</v>
      </c>
      <c r="E16" s="180">
        <f>'FY21'!S10</f>
        <v>1801.4339951999998</v>
      </c>
      <c r="F16" s="180"/>
      <c r="G16" s="180">
        <f>'FY22'!S10</f>
        <v>1954.5558847920004</v>
      </c>
      <c r="H16" s="180"/>
      <c r="I16" s="180">
        <f>'FY23'!S10</f>
        <v>2110.7536309115117</v>
      </c>
      <c r="J16" s="180"/>
      <c r="K16" s="180">
        <f>'FY24'!S10</f>
        <v>2240.5357927031023</v>
      </c>
      <c r="L16" s="180"/>
      <c r="M16" s="180">
        <f>'FY25'!S10</f>
        <v>2368.933817967375</v>
      </c>
    </row>
    <row r="17" spans="2:13" s="37" customFormat="1" ht="12" x14ac:dyDescent="0.2">
      <c r="B17" s="86"/>
      <c r="C17" s="205">
        <v>1192</v>
      </c>
      <c r="D17" s="37" t="s">
        <v>3</v>
      </c>
      <c r="E17" s="180">
        <f>'FY21'!S11</f>
        <v>55844.453851200007</v>
      </c>
      <c r="F17" s="180"/>
      <c r="G17" s="180">
        <f>'FY22'!S11</f>
        <v>60591.232428552001</v>
      </c>
      <c r="H17" s="180"/>
      <c r="I17" s="180">
        <f>'FY23'!S11</f>
        <v>65433.362558256849</v>
      </c>
      <c r="J17" s="180"/>
      <c r="K17" s="180">
        <f>'FY24'!S11</f>
        <v>69456.609573796173</v>
      </c>
      <c r="L17" s="180"/>
      <c r="M17" s="180">
        <f>'FY25'!S11</f>
        <v>73436.948356988592</v>
      </c>
    </row>
    <row r="18" spans="2:13" s="37" customFormat="1" ht="12" x14ac:dyDescent="0.2">
      <c r="B18" s="86"/>
      <c r="C18" s="205">
        <v>3110</v>
      </c>
      <c r="D18" s="37" t="s">
        <v>73</v>
      </c>
      <c r="E18" s="180">
        <f>'FY21'!S12</f>
        <v>745793.67401279975</v>
      </c>
      <c r="F18" s="180"/>
      <c r="G18" s="180">
        <f>'FY22'!S12</f>
        <v>809186.13630388805</v>
      </c>
      <c r="H18" s="180"/>
      <c r="I18" s="180">
        <f>'FY23'!S12</f>
        <v>873852.00319736556</v>
      </c>
      <c r="J18" s="180"/>
      <c r="K18" s="180">
        <f>'FY24'!S12</f>
        <v>927581.8181790841</v>
      </c>
      <c r="L18" s="180"/>
      <c r="M18" s="180">
        <f>'FY25'!S12</f>
        <v>980738.60063849308</v>
      </c>
    </row>
    <row r="19" spans="2:13" s="37" customFormat="1" ht="12" x14ac:dyDescent="0.2">
      <c r="B19" s="86"/>
      <c r="C19" s="38"/>
      <c r="E19" s="50">
        <f>SUBTOTAL(9,E14:E18)</f>
        <v>1801433.9951999998</v>
      </c>
      <c r="F19" s="39"/>
      <c r="G19" s="50">
        <f>SUBTOTAL(9,G14:G18)</f>
        <v>1954555.8847920001</v>
      </c>
      <c r="H19" s="39"/>
      <c r="I19" s="50">
        <f>SUBTOTAL(9,I14:I18)</f>
        <v>2110753.6309115109</v>
      </c>
      <c r="J19" s="39"/>
      <c r="K19" s="50">
        <f>SUBTOTAL(9,K14:K18)</f>
        <v>2240535.7927031014</v>
      </c>
      <c r="L19" s="39"/>
      <c r="M19" s="50">
        <f>SUBTOTAL(9,M14:M18)</f>
        <v>2368933.8179673743</v>
      </c>
    </row>
    <row r="20" spans="2:13" s="37" customFormat="1" ht="12" x14ac:dyDescent="0.2">
      <c r="B20" s="86"/>
      <c r="C20" s="49" t="s">
        <v>170</v>
      </c>
      <c r="E20" s="39"/>
      <c r="F20" s="39"/>
      <c r="G20" s="39"/>
      <c r="H20" s="39"/>
      <c r="I20" s="39"/>
      <c r="J20" s="39"/>
      <c r="K20" s="39"/>
      <c r="L20" s="39"/>
      <c r="M20" s="39"/>
    </row>
    <row r="21" spans="2:13" s="37" customFormat="1" ht="12" x14ac:dyDescent="0.2">
      <c r="B21" s="86"/>
      <c r="C21" s="199">
        <v>3115</v>
      </c>
      <c r="D21" s="37" t="s">
        <v>5</v>
      </c>
      <c r="E21" s="39">
        <f>'FY21'!S15</f>
        <v>0</v>
      </c>
      <c r="F21" s="39"/>
      <c r="G21" s="39">
        <f>'FY22'!S15</f>
        <v>0</v>
      </c>
      <c r="H21" s="39"/>
      <c r="I21" s="39">
        <f>'FY23'!S15</f>
        <v>0</v>
      </c>
      <c r="J21" s="39"/>
      <c r="K21" s="39">
        <f>'FY24'!S15</f>
        <v>0</v>
      </c>
      <c r="L21" s="39"/>
      <c r="M21" s="39">
        <f>'FY25'!S15</f>
        <v>0</v>
      </c>
    </row>
    <row r="22" spans="2:13" s="37" customFormat="1" ht="12" x14ac:dyDescent="0.2">
      <c r="B22" s="86"/>
      <c r="C22" s="199">
        <v>3200</v>
      </c>
      <c r="D22" s="37" t="s">
        <v>6</v>
      </c>
      <c r="E22" s="39">
        <f>'FY21'!S16</f>
        <v>0</v>
      </c>
      <c r="F22" s="39"/>
      <c r="G22" s="39">
        <f>'FY22'!S16</f>
        <v>0</v>
      </c>
      <c r="H22" s="39"/>
      <c r="I22" s="39">
        <f>'FY23'!S16</f>
        <v>0</v>
      </c>
      <c r="J22" s="39"/>
      <c r="K22" s="39">
        <f>'FY24'!S16</f>
        <v>0</v>
      </c>
      <c r="L22" s="39"/>
      <c r="M22" s="39">
        <f>'FY25'!S16</f>
        <v>0</v>
      </c>
    </row>
    <row r="23" spans="2:13" s="37" customFormat="1" ht="12" x14ac:dyDescent="0.2">
      <c r="B23" s="86"/>
      <c r="C23" s="38"/>
      <c r="E23" s="50">
        <f>SUBTOTAL(9,E21:E22)</f>
        <v>0</v>
      </c>
      <c r="F23" s="39"/>
      <c r="G23" s="50">
        <f>SUBTOTAL(9,G21:G22)</f>
        <v>0</v>
      </c>
      <c r="H23" s="39"/>
      <c r="I23" s="50">
        <f>SUBTOTAL(9,I21:I22)</f>
        <v>0</v>
      </c>
      <c r="J23" s="39"/>
      <c r="K23" s="50">
        <f>SUBTOTAL(9,K21:K22)</f>
        <v>0</v>
      </c>
      <c r="L23" s="39"/>
      <c r="M23" s="50">
        <f>SUBTOTAL(9,M21:M22)</f>
        <v>0</v>
      </c>
    </row>
    <row r="24" spans="2:13" s="37" customFormat="1" ht="12" x14ac:dyDescent="0.2">
      <c r="B24" s="86"/>
      <c r="C24" s="49" t="s">
        <v>149</v>
      </c>
      <c r="E24" s="39"/>
      <c r="F24" s="39"/>
      <c r="G24" s="39"/>
      <c r="H24" s="39"/>
      <c r="I24" s="39"/>
      <c r="J24" s="39"/>
      <c r="K24" s="39"/>
      <c r="L24" s="39"/>
      <c r="M24" s="39"/>
    </row>
    <row r="25" spans="2:13" s="37" customFormat="1" ht="12" x14ac:dyDescent="0.2">
      <c r="B25" s="86"/>
      <c r="C25" s="199">
        <v>4500</v>
      </c>
      <c r="D25" s="37" t="s">
        <v>6</v>
      </c>
      <c r="E25" s="41">
        <f>'FY21'!S19</f>
        <v>18499.5</v>
      </c>
      <c r="F25" s="41"/>
      <c r="G25" s="39">
        <f>'FY22'!S19</f>
        <v>20071.957499999997</v>
      </c>
      <c r="H25" s="39"/>
      <c r="I25" s="39">
        <f>'FY23'!S19</f>
        <v>21676.001951274542</v>
      </c>
      <c r="J25" s="39"/>
      <c r="K25" s="39">
        <f>'FY24'!S19</f>
        <v>23008.776345707451</v>
      </c>
      <c r="L25" s="39"/>
      <c r="M25" s="39">
        <f>'FY25'!S19</f>
        <v>24327.336600873889</v>
      </c>
    </row>
    <row r="26" spans="2:13" s="37" customFormat="1" ht="12" x14ac:dyDescent="0.2">
      <c r="B26" s="86"/>
      <c r="C26" s="199">
        <v>4571</v>
      </c>
      <c r="D26" s="37" t="s">
        <v>7</v>
      </c>
      <c r="E26" s="41">
        <f>'FY21'!S20</f>
        <v>5000</v>
      </c>
      <c r="F26" s="41"/>
      <c r="G26" s="39">
        <f>'FY22'!S20</f>
        <v>5425</v>
      </c>
      <c r="H26" s="39"/>
      <c r="I26" s="39">
        <f>'FY23'!S20</f>
        <v>5858.5372445943249</v>
      </c>
      <c r="J26" s="39"/>
      <c r="K26" s="39">
        <f>'FY24'!S20</f>
        <v>6218.7562760365017</v>
      </c>
      <c r="L26" s="39"/>
      <c r="M26" s="39">
        <f>'FY25'!S20</f>
        <v>6575.1335443860353</v>
      </c>
    </row>
    <row r="27" spans="2:13" s="37" customFormat="1" ht="12" x14ac:dyDescent="0.2">
      <c r="B27" s="86"/>
      <c r="C27" s="199">
        <v>4703</v>
      </c>
      <c r="D27" s="37" t="s">
        <v>185</v>
      </c>
      <c r="E27" s="41">
        <f>'FY21'!S21</f>
        <v>11737.739999999998</v>
      </c>
      <c r="F27" s="41"/>
      <c r="G27" s="39">
        <f>'FY22'!S21</f>
        <v>12735.447899999997</v>
      </c>
      <c r="H27" s="39"/>
      <c r="I27" s="39">
        <f>'FY23'!S21</f>
        <v>13753.197391472917</v>
      </c>
      <c r="J27" s="39"/>
      <c r="K27" s="39">
        <f>'FY24'!S21</f>
        <v>14598.828858296934</v>
      </c>
      <c r="L27" s="39"/>
      <c r="M27" s="39">
        <f>'FY25'!S21</f>
        <v>15435.441601856344</v>
      </c>
    </row>
    <row r="28" spans="2:13" s="37" customFormat="1" ht="12" x14ac:dyDescent="0.2">
      <c r="B28" s="86"/>
      <c r="C28" s="38"/>
      <c r="E28" s="50">
        <f>SUBTOTAL(9,E25:E27)</f>
        <v>35237.24</v>
      </c>
      <c r="F28" s="39"/>
      <c r="G28" s="50">
        <f>SUBTOTAL(9,G25:G27)</f>
        <v>38232.405399999996</v>
      </c>
      <c r="H28" s="39"/>
      <c r="I28" s="50">
        <f>SUBTOTAL(9,I25:I27)</f>
        <v>41287.736587341788</v>
      </c>
      <c r="J28" s="39"/>
      <c r="K28" s="50">
        <f>SUBTOTAL(9,K25:K27)</f>
        <v>43826.361480040883</v>
      </c>
      <c r="L28" s="39"/>
      <c r="M28" s="50">
        <f>SUBTOTAL(9,M25:M27)</f>
        <v>46337.911747116268</v>
      </c>
    </row>
    <row r="29" spans="2:13" s="37" customFormat="1" ht="12" x14ac:dyDescent="0.2">
      <c r="B29" s="86"/>
      <c r="C29" s="49" t="s">
        <v>150</v>
      </c>
      <c r="E29" s="41"/>
      <c r="F29" s="39"/>
      <c r="G29" s="41"/>
      <c r="H29" s="39"/>
      <c r="I29" s="41"/>
      <c r="J29" s="39"/>
      <c r="K29" s="41"/>
      <c r="L29" s="39"/>
      <c r="M29" s="41"/>
    </row>
    <row r="30" spans="2:13" s="37" customFormat="1" ht="12" x14ac:dyDescent="0.2">
      <c r="B30" s="86"/>
      <c r="C30" s="199">
        <v>1790</v>
      </c>
      <c r="D30" s="37" t="s">
        <v>4</v>
      </c>
      <c r="E30" s="39">
        <f>'FY21'!S24</f>
        <v>358560</v>
      </c>
      <c r="F30" s="39"/>
      <c r="G30" s="39">
        <f>'FY22'!S24</f>
        <v>389037.6</v>
      </c>
      <c r="H30" s="39"/>
      <c r="I30" s="39">
        <f>'FY23'!S24</f>
        <v>420127.42288434826</v>
      </c>
      <c r="J30" s="39"/>
      <c r="K30" s="39">
        <f>'FY24'!S24</f>
        <v>445959.45006712963</v>
      </c>
      <c r="L30" s="39"/>
      <c r="M30" s="39">
        <f>'FY25'!S24</f>
        <v>471515.97673501138</v>
      </c>
    </row>
    <row r="31" spans="2:13" s="37" customFormat="1" ht="12" x14ac:dyDescent="0.2">
      <c r="B31" s="86"/>
      <c r="C31" s="38"/>
      <c r="E31" s="50">
        <f>SUBTOTAL(9,E30)</f>
        <v>358560</v>
      </c>
      <c r="F31" s="39"/>
      <c r="G31" s="50">
        <f>SUBTOTAL(9,G30)</f>
        <v>389037.6</v>
      </c>
      <c r="H31" s="39"/>
      <c r="I31" s="50">
        <f>SUBTOTAL(9,I30)</f>
        <v>420127.42288434826</v>
      </c>
      <c r="J31" s="39"/>
      <c r="K31" s="50">
        <f>SUBTOTAL(9,K30)</f>
        <v>445959.45006712963</v>
      </c>
      <c r="L31" s="39"/>
      <c r="M31" s="50">
        <f>SUBTOTAL(9,M30)</f>
        <v>471515.97673501138</v>
      </c>
    </row>
    <row r="32" spans="2:13" s="37" customFormat="1" ht="9" customHeight="1" x14ac:dyDescent="0.2">
      <c r="B32" s="86"/>
      <c r="C32" s="38"/>
      <c r="E32" s="39"/>
      <c r="F32" s="39"/>
      <c r="G32" s="39"/>
      <c r="H32" s="39"/>
      <c r="I32" s="39"/>
      <c r="J32" s="39"/>
      <c r="K32" s="39"/>
      <c r="L32" s="39"/>
      <c r="M32" s="39"/>
    </row>
    <row r="33" spans="2:13" s="45" customFormat="1" ht="12" x14ac:dyDescent="0.2">
      <c r="B33" s="45" t="s">
        <v>105</v>
      </c>
      <c r="C33" s="46"/>
      <c r="E33" s="43">
        <f>SUBTOTAL(9,E14:E32)</f>
        <v>2195231.2352</v>
      </c>
      <c r="F33" s="40"/>
      <c r="G33" s="43">
        <f>SUBTOTAL(9,G14:G32)</f>
        <v>2381825.8901920002</v>
      </c>
      <c r="H33" s="40"/>
      <c r="I33" s="43">
        <f>SUBTOTAL(9,I14:I32)</f>
        <v>2572168.7903832006</v>
      </c>
      <c r="J33" s="40"/>
      <c r="K33" s="43">
        <f>SUBTOTAL(9,K14:K32)</f>
        <v>2730321.6042502718</v>
      </c>
      <c r="L33" s="40"/>
      <c r="M33" s="43">
        <f>SUBTOTAL(9,M14:M32)</f>
        <v>2886787.7064495017</v>
      </c>
    </row>
    <row r="34" spans="2:13" s="45" customFormat="1" ht="12" x14ac:dyDescent="0.2">
      <c r="B34" s="87"/>
      <c r="C34" s="46"/>
      <c r="E34" s="40"/>
      <c r="F34" s="40"/>
      <c r="G34" s="40"/>
      <c r="H34" s="40"/>
      <c r="I34" s="40"/>
      <c r="J34" s="40"/>
      <c r="K34" s="40"/>
      <c r="L34" s="40"/>
      <c r="M34" s="40"/>
    </row>
    <row r="35" spans="2:13" s="37" customFormat="1" ht="12" x14ac:dyDescent="0.2">
      <c r="B35" s="45" t="s">
        <v>59</v>
      </c>
      <c r="C35" s="38"/>
      <c r="E35" s="39"/>
      <c r="F35" s="39"/>
      <c r="G35" s="39"/>
      <c r="H35" s="39"/>
      <c r="I35" s="39"/>
      <c r="J35" s="39"/>
      <c r="K35" s="39"/>
      <c r="L35" s="39"/>
      <c r="M35" s="39"/>
    </row>
    <row r="36" spans="2:13" s="37" customFormat="1" ht="12" x14ac:dyDescent="0.2">
      <c r="B36" s="86"/>
      <c r="C36" s="49" t="s">
        <v>8</v>
      </c>
      <c r="E36" s="39"/>
      <c r="F36" s="39"/>
      <c r="G36" s="39"/>
      <c r="H36" s="39"/>
      <c r="I36" s="39"/>
      <c r="J36" s="39"/>
      <c r="K36" s="39"/>
      <c r="L36" s="39"/>
      <c r="M36" s="39"/>
    </row>
    <row r="37" spans="2:13" s="37" customFormat="1" ht="12" x14ac:dyDescent="0.2">
      <c r="B37" s="86"/>
      <c r="C37" s="199">
        <v>6111</v>
      </c>
      <c r="D37" s="37" t="s">
        <v>191</v>
      </c>
      <c r="E37" s="39">
        <f>'FY21'!S31</f>
        <v>0</v>
      </c>
      <c r="F37" s="39"/>
      <c r="G37" s="39">
        <f>'FY22'!S31</f>
        <v>0</v>
      </c>
      <c r="H37" s="39"/>
      <c r="I37" s="39">
        <f>'FY23'!S31</f>
        <v>0</v>
      </c>
      <c r="J37" s="39"/>
      <c r="K37" s="39">
        <f>'FY24'!S31</f>
        <v>0</v>
      </c>
      <c r="L37" s="39"/>
      <c r="M37" s="39">
        <f>'FY25'!S31</f>
        <v>0</v>
      </c>
    </row>
    <row r="38" spans="2:13" s="37" customFormat="1" ht="12" x14ac:dyDescent="0.2">
      <c r="B38" s="86"/>
      <c r="C38" s="199">
        <v>6114</v>
      </c>
      <c r="D38" s="37" t="s">
        <v>232</v>
      </c>
      <c r="E38" s="39">
        <f>'FY21'!S32</f>
        <v>492827.6999999999</v>
      </c>
      <c r="F38" s="39"/>
      <c r="G38" s="39">
        <f>'FY22'!S32</f>
        <v>502684.25400000013</v>
      </c>
      <c r="H38" s="39"/>
      <c r="I38" s="39">
        <f>'FY23'!S32</f>
        <v>512737.93908000016</v>
      </c>
      <c r="J38" s="39"/>
      <c r="K38" s="39">
        <f>'FY24'!S32</f>
        <v>522992.69786160014</v>
      </c>
      <c r="L38" s="39"/>
      <c r="M38" s="39">
        <f>'FY25'!S32</f>
        <v>533452.55181883217</v>
      </c>
    </row>
    <row r="39" spans="2:13" s="37" customFormat="1" ht="12" x14ac:dyDescent="0.2">
      <c r="B39" s="86"/>
      <c r="C39" s="199">
        <v>6117</v>
      </c>
      <c r="D39" s="37" t="s">
        <v>228</v>
      </c>
      <c r="E39" s="39">
        <f>'FY21'!S33</f>
        <v>585797.28899999999</v>
      </c>
      <c r="F39" s="39"/>
      <c r="G39" s="39">
        <f>'FY22'!S33</f>
        <v>656313.23478000006</v>
      </c>
      <c r="H39" s="39"/>
      <c r="I39" s="39">
        <f>'FY23'!S33</f>
        <v>669439.4994756002</v>
      </c>
      <c r="J39" s="39"/>
      <c r="K39" s="39">
        <f>'FY24'!S33</f>
        <v>682828.28946511203</v>
      </c>
      <c r="L39" s="39"/>
      <c r="M39" s="39">
        <f>'FY25'!S33</f>
        <v>696484.85525441437</v>
      </c>
    </row>
    <row r="40" spans="2:13" s="37" customFormat="1" ht="12" x14ac:dyDescent="0.2">
      <c r="B40" s="86"/>
      <c r="C40" s="199">
        <v>6127</v>
      </c>
      <c r="D40" s="37" t="s">
        <v>229</v>
      </c>
      <c r="E40" s="39">
        <f>'FY21'!S34</f>
        <v>35360.000000000007</v>
      </c>
      <c r="F40" s="39"/>
      <c r="G40" s="39">
        <f>'FY22'!S34</f>
        <v>36067.19999999999</v>
      </c>
      <c r="H40" s="39"/>
      <c r="I40" s="39">
        <f>'FY23'!S34</f>
        <v>36788.544000000002</v>
      </c>
      <c r="J40" s="39"/>
      <c r="K40" s="39">
        <f>'FY24'!S34</f>
        <v>37524.314879999998</v>
      </c>
      <c r="L40" s="39"/>
      <c r="M40" s="39">
        <f>'FY25'!S34</f>
        <v>38274.801177600013</v>
      </c>
    </row>
    <row r="41" spans="2:13" s="37" customFormat="1" ht="12" x14ac:dyDescent="0.2">
      <c r="B41" s="86"/>
      <c r="C41" s="199">
        <v>6151</v>
      </c>
      <c r="D41" s="37" t="s">
        <v>189</v>
      </c>
      <c r="E41" s="39">
        <f>'FY21'!S35</f>
        <v>0</v>
      </c>
      <c r="F41" s="39"/>
      <c r="G41" s="39">
        <f>'FY22'!S35</f>
        <v>0</v>
      </c>
      <c r="H41" s="39"/>
      <c r="I41" s="39">
        <f>'FY23'!S35</f>
        <v>0</v>
      </c>
      <c r="J41" s="39"/>
      <c r="K41" s="39">
        <f>'FY24'!S35</f>
        <v>0</v>
      </c>
      <c r="L41" s="39"/>
      <c r="M41" s="39">
        <f>'FY25'!S35</f>
        <v>0</v>
      </c>
    </row>
    <row r="42" spans="2:13" s="37" customFormat="1" ht="12" x14ac:dyDescent="0.2">
      <c r="B42" s="86"/>
      <c r="C42" s="199">
        <v>6154</v>
      </c>
      <c r="D42" s="37" t="s">
        <v>233</v>
      </c>
      <c r="E42" s="39">
        <f>'FY21'!S36</f>
        <v>28250</v>
      </c>
      <c r="F42" s="39"/>
      <c r="G42" s="39">
        <f>'FY22'!S36</f>
        <v>28815</v>
      </c>
      <c r="H42" s="39"/>
      <c r="I42" s="39">
        <f>'FY23'!S36</f>
        <v>29391.3</v>
      </c>
      <c r="J42" s="39"/>
      <c r="K42" s="39">
        <f>'FY24'!S36</f>
        <v>29979.126</v>
      </c>
      <c r="L42" s="39"/>
      <c r="M42" s="39">
        <f>'FY25'!S36</f>
        <v>30578.708520000004</v>
      </c>
    </row>
    <row r="43" spans="2:13" s="37" customFormat="1" ht="12" x14ac:dyDescent="0.2">
      <c r="B43" s="86"/>
      <c r="C43" s="199">
        <v>6157</v>
      </c>
      <c r="D43" s="37" t="s">
        <v>230</v>
      </c>
      <c r="E43" s="39">
        <f>'FY21'!S37</f>
        <v>35208</v>
      </c>
      <c r="F43" s="39"/>
      <c r="G43" s="39">
        <f>'FY22'!S37</f>
        <v>35912.159999999996</v>
      </c>
      <c r="H43" s="39"/>
      <c r="I43" s="39">
        <f>'FY23'!S37</f>
        <v>36630.403200000001</v>
      </c>
      <c r="J43" s="39"/>
      <c r="K43" s="39">
        <f>'FY24'!S37</f>
        <v>37363.011264000008</v>
      </c>
      <c r="L43" s="39"/>
      <c r="M43" s="39">
        <f>'FY25'!S37</f>
        <v>38110.27148928</v>
      </c>
    </row>
    <row r="44" spans="2:13" s="37" customFormat="1" ht="12" x14ac:dyDescent="0.2">
      <c r="B44" s="86"/>
      <c r="C44" s="199">
        <v>6161</v>
      </c>
      <c r="D44" s="37" t="s">
        <v>97</v>
      </c>
      <c r="E44" s="39">
        <f>'FY21'!S38</f>
        <v>0</v>
      </c>
      <c r="F44" s="39"/>
      <c r="G44" s="39">
        <f>'FY22'!S38</f>
        <v>0</v>
      </c>
      <c r="H44" s="39"/>
      <c r="I44" s="39">
        <f>'FY23'!S38</f>
        <v>0</v>
      </c>
      <c r="J44" s="39"/>
      <c r="K44" s="39">
        <f>'FY24'!S38</f>
        <v>0</v>
      </c>
      <c r="L44" s="39"/>
      <c r="M44" s="39">
        <f>'FY25'!S38</f>
        <v>0</v>
      </c>
    </row>
    <row r="45" spans="2:13" s="37" customFormat="1" ht="12" x14ac:dyDescent="0.2">
      <c r="B45" s="86"/>
      <c r="C45" s="199">
        <v>6164</v>
      </c>
      <c r="D45" s="37" t="s">
        <v>202</v>
      </c>
      <c r="E45" s="39">
        <f>'FY21'!S39</f>
        <v>12500</v>
      </c>
      <c r="F45" s="39"/>
      <c r="G45" s="39">
        <f>'FY22'!S39</f>
        <v>12750</v>
      </c>
      <c r="H45" s="39"/>
      <c r="I45" s="39">
        <f>'FY23'!S39</f>
        <v>13005</v>
      </c>
      <c r="J45" s="39"/>
      <c r="K45" s="39">
        <f>'FY24'!S39</f>
        <v>13265.1</v>
      </c>
      <c r="L45" s="39"/>
      <c r="M45" s="39">
        <f>'FY25'!S39</f>
        <v>13530.402</v>
      </c>
    </row>
    <row r="46" spans="2:13" s="37" customFormat="1" ht="12" x14ac:dyDescent="0.2">
      <c r="B46" s="86"/>
      <c r="C46" s="199">
        <v>6167</v>
      </c>
      <c r="D46" s="37" t="s">
        <v>231</v>
      </c>
      <c r="E46" s="39">
        <f>'FY21'!S40</f>
        <v>2500</v>
      </c>
      <c r="F46" s="39"/>
      <c r="G46" s="39">
        <f>'FY22'!S40</f>
        <v>2550</v>
      </c>
      <c r="H46" s="39"/>
      <c r="I46" s="39">
        <f>'FY23'!S40</f>
        <v>2601</v>
      </c>
      <c r="J46" s="39"/>
      <c r="K46" s="39">
        <f>'FY24'!S40</f>
        <v>2653.0200000000004</v>
      </c>
      <c r="L46" s="39"/>
      <c r="M46" s="39">
        <f>'FY25'!S40</f>
        <v>2706.0804000000003</v>
      </c>
    </row>
    <row r="47" spans="2:13" s="37" customFormat="1" ht="12" x14ac:dyDescent="0.2">
      <c r="B47" s="86"/>
      <c r="C47" s="38"/>
      <c r="E47" s="50">
        <f>SUBTOTAL(9,E37:E46)</f>
        <v>1192442.9889999998</v>
      </c>
      <c r="F47" s="39"/>
      <c r="G47" s="50">
        <f>SUBTOTAL(9,G37:G46)</f>
        <v>1275091.8487800001</v>
      </c>
      <c r="H47" s="39"/>
      <c r="I47" s="50">
        <f>SUBTOTAL(9,I37:I46)</f>
        <v>1300593.6857556005</v>
      </c>
      <c r="J47" s="39"/>
      <c r="K47" s="50">
        <f>SUBTOTAL(9,K37:K46)</f>
        <v>1326605.5594707122</v>
      </c>
      <c r="L47" s="39"/>
      <c r="M47" s="50">
        <f>SUBTOTAL(9,M37:M46)</f>
        <v>1353137.6706601267</v>
      </c>
    </row>
    <row r="48" spans="2:13" s="37" customFormat="1" ht="12" x14ac:dyDescent="0.2">
      <c r="B48" s="86"/>
      <c r="C48" s="49" t="s">
        <v>99</v>
      </c>
      <c r="E48" s="39"/>
      <c r="F48" s="39"/>
      <c r="G48" s="39"/>
      <c r="H48" s="39"/>
      <c r="I48" s="39"/>
      <c r="J48" s="39"/>
      <c r="K48" s="39"/>
      <c r="L48" s="39"/>
      <c r="M48" s="39"/>
    </row>
    <row r="49" spans="2:13" s="37" customFormat="1" ht="12" x14ac:dyDescent="0.2">
      <c r="B49" s="86"/>
      <c r="C49" s="199">
        <v>6211</v>
      </c>
      <c r="D49" s="37" t="s">
        <v>198</v>
      </c>
      <c r="E49" s="39">
        <f>'FY21'!S43</f>
        <v>0</v>
      </c>
      <c r="F49" s="39"/>
      <c r="G49" s="39">
        <f>'FY22'!S43</f>
        <v>0</v>
      </c>
      <c r="H49" s="39"/>
      <c r="I49" s="39">
        <f>'FY23'!S43</f>
        <v>0</v>
      </c>
      <c r="J49" s="39"/>
      <c r="K49" s="39">
        <f>'FY24'!S43</f>
        <v>0</v>
      </c>
      <c r="L49" s="39"/>
      <c r="M49" s="39">
        <f>'FY25'!S43</f>
        <v>0</v>
      </c>
    </row>
    <row r="50" spans="2:13" s="37" customFormat="1" ht="12" x14ac:dyDescent="0.2">
      <c r="B50" s="86"/>
      <c r="C50" s="199">
        <v>6214</v>
      </c>
      <c r="D50" s="37" t="s">
        <v>199</v>
      </c>
      <c r="E50" s="39">
        <f>'FY21'!S44</f>
        <v>1776</v>
      </c>
      <c r="F50" s="39"/>
      <c r="G50" s="39">
        <f>'FY22'!S44</f>
        <v>1811.5200000000002</v>
      </c>
      <c r="H50" s="39"/>
      <c r="I50" s="39">
        <f>'FY23'!S44</f>
        <v>1847.7504000000001</v>
      </c>
      <c r="J50" s="39"/>
      <c r="K50" s="39">
        <f>'FY24'!S44</f>
        <v>1884.7054080000005</v>
      </c>
      <c r="L50" s="39"/>
      <c r="M50" s="39">
        <f>'FY25'!S44</f>
        <v>1922.3995161600008</v>
      </c>
    </row>
    <row r="51" spans="2:13" s="37" customFormat="1" ht="12" x14ac:dyDescent="0.2">
      <c r="B51" s="86"/>
      <c r="C51" s="199">
        <v>6217</v>
      </c>
      <c r="D51" s="37" t="s">
        <v>222</v>
      </c>
      <c r="E51" s="39">
        <f>'FY21'!S45</f>
        <v>3552</v>
      </c>
      <c r="F51" s="39"/>
      <c r="G51" s="39">
        <f>'FY22'!S45</f>
        <v>4079.0400000000004</v>
      </c>
      <c r="H51" s="39"/>
      <c r="I51" s="39">
        <f>'FY23'!S45</f>
        <v>4160.6208000000015</v>
      </c>
      <c r="J51" s="39"/>
      <c r="K51" s="39">
        <f>'FY24'!S45</f>
        <v>4243.833216</v>
      </c>
      <c r="L51" s="39"/>
      <c r="M51" s="39">
        <f>'FY25'!S45</f>
        <v>4328.7098803200006</v>
      </c>
    </row>
    <row r="52" spans="2:13" s="37" customFormat="1" ht="12" x14ac:dyDescent="0.2">
      <c r="B52" s="86"/>
      <c r="C52" s="199">
        <v>6227</v>
      </c>
      <c r="D52" s="37" t="s">
        <v>221</v>
      </c>
      <c r="E52" s="39">
        <f>'FY21'!S46</f>
        <v>2192.3200000000002</v>
      </c>
      <c r="F52" s="39"/>
      <c r="G52" s="39">
        <f>'FY22'!S46</f>
        <v>2236.1663999999996</v>
      </c>
      <c r="H52" s="39"/>
      <c r="I52" s="39">
        <f>'FY23'!S46</f>
        <v>2280.8897279999996</v>
      </c>
      <c r="J52" s="39"/>
      <c r="K52" s="39">
        <f>'FY24'!S46</f>
        <v>2326.5075225599999</v>
      </c>
      <c r="L52" s="39"/>
      <c r="M52" s="39">
        <f>'FY25'!S46</f>
        <v>2373.0376730112002</v>
      </c>
    </row>
    <row r="53" spans="2:13" s="37" customFormat="1" ht="12" x14ac:dyDescent="0.2">
      <c r="B53" s="86"/>
      <c r="C53" s="199">
        <v>6231</v>
      </c>
      <c r="D53" s="37" t="s">
        <v>205</v>
      </c>
      <c r="E53" s="39">
        <f>'FY21'!S47</f>
        <v>0</v>
      </c>
      <c r="F53" s="39"/>
      <c r="G53" s="39">
        <f>'FY22'!S47</f>
        <v>0</v>
      </c>
      <c r="H53" s="39"/>
      <c r="I53" s="39">
        <f>'FY23'!S47</f>
        <v>0</v>
      </c>
      <c r="J53" s="39"/>
      <c r="K53" s="39">
        <f>'FY24'!S47</f>
        <v>0</v>
      </c>
      <c r="L53" s="39"/>
      <c r="M53" s="39">
        <f>'FY25'!S47</f>
        <v>0</v>
      </c>
    </row>
    <row r="54" spans="2:13" s="37" customFormat="1" ht="12" x14ac:dyDescent="0.2">
      <c r="B54" s="86"/>
      <c r="C54" s="199">
        <v>6234</v>
      </c>
      <c r="D54" s="37" t="s">
        <v>206</v>
      </c>
      <c r="E54" s="39">
        <f>'FY21'!S48</f>
        <v>128023.72425000003</v>
      </c>
      <c r="F54" s="39"/>
      <c r="G54" s="39">
        <f>'FY22'!S48</f>
        <v>130584.198735</v>
      </c>
      <c r="H54" s="39"/>
      <c r="I54" s="39">
        <f>'FY23'!S48</f>
        <v>133195.8827097</v>
      </c>
      <c r="J54" s="39"/>
      <c r="K54" s="39">
        <f>'FY24'!S48</f>
        <v>135859.800363894</v>
      </c>
      <c r="L54" s="39"/>
      <c r="M54" s="39">
        <f>'FY25'!S48</f>
        <v>138576.99637117193</v>
      </c>
    </row>
    <row r="55" spans="2:13" s="37" customFormat="1" ht="12" x14ac:dyDescent="0.2">
      <c r="B55" s="86"/>
      <c r="C55" s="199">
        <v>6237</v>
      </c>
      <c r="D55" s="37" t="s">
        <v>223</v>
      </c>
      <c r="E55" s="39">
        <f>'FY21'!S49</f>
        <v>117882.8365725</v>
      </c>
      <c r="F55" s="39"/>
      <c r="G55" s="39">
        <f>'FY22'!S49</f>
        <v>129240.49330394999</v>
      </c>
      <c r="H55" s="39"/>
      <c r="I55" s="39">
        <f>'FY23'!S49</f>
        <v>131825.30317002899</v>
      </c>
      <c r="J55" s="39"/>
      <c r="K55" s="39">
        <f>'FY24'!S49</f>
        <v>134461.80923342958</v>
      </c>
      <c r="L55" s="39"/>
      <c r="M55" s="39">
        <f>'FY25'!S49</f>
        <v>137151.04541809825</v>
      </c>
    </row>
    <row r="56" spans="2:13" s="37" customFormat="1" ht="12" x14ac:dyDescent="0.2">
      <c r="B56" s="86"/>
      <c r="C56" s="199">
        <v>6241</v>
      </c>
      <c r="D56" s="37" t="s">
        <v>196</v>
      </c>
      <c r="E56" s="39">
        <f>'FY21'!S50</f>
        <v>0</v>
      </c>
      <c r="F56" s="39"/>
      <c r="G56" s="39">
        <f>'FY22'!S50</f>
        <v>0</v>
      </c>
      <c r="H56" s="39"/>
      <c r="I56" s="39">
        <f>'FY23'!S50</f>
        <v>0</v>
      </c>
      <c r="J56" s="39"/>
      <c r="K56" s="39">
        <f>'FY24'!S50</f>
        <v>0</v>
      </c>
      <c r="L56" s="39"/>
      <c r="M56" s="39">
        <f>'FY25'!S50</f>
        <v>0</v>
      </c>
    </row>
    <row r="57" spans="2:13" s="37" customFormat="1" ht="12" x14ac:dyDescent="0.2">
      <c r="B57" s="86"/>
      <c r="C57" s="199">
        <v>6244</v>
      </c>
      <c r="D57" s="37" t="s">
        <v>197</v>
      </c>
      <c r="E57" s="39">
        <f>'FY21'!S51</f>
        <v>7736.8766500000011</v>
      </c>
      <c r="F57" s="39"/>
      <c r="G57" s="39">
        <f>'FY22'!S51</f>
        <v>7891.6141830000006</v>
      </c>
      <c r="H57" s="39"/>
      <c r="I57" s="39">
        <f>'FY23'!S51</f>
        <v>8049.4464666600015</v>
      </c>
      <c r="J57" s="39"/>
      <c r="K57" s="39">
        <f>'FY24'!S51</f>
        <v>8210.4353959932014</v>
      </c>
      <c r="L57" s="39"/>
      <c r="M57" s="39">
        <f>'FY25'!S51</f>
        <v>8374.6441039130659</v>
      </c>
    </row>
    <row r="58" spans="2:13" s="37" customFormat="1" ht="12" x14ac:dyDescent="0.2">
      <c r="B58" s="86"/>
      <c r="C58" s="199">
        <v>6247</v>
      </c>
      <c r="D58" s="37" t="s">
        <v>224</v>
      </c>
      <c r="E58" s="39">
        <f>'FY21'!S52</f>
        <v>9553.5466904999994</v>
      </c>
      <c r="F58" s="39"/>
      <c r="G58" s="39">
        <f>'FY22'!S52</f>
        <v>9744.6176243099999</v>
      </c>
      <c r="H58" s="39"/>
      <c r="I58" s="39">
        <f>'FY23'!S52</f>
        <v>9939.5099767962001</v>
      </c>
      <c r="J58" s="39"/>
      <c r="K58" s="39">
        <f>'FY24'!S52</f>
        <v>10138.300176332126</v>
      </c>
      <c r="L58" s="39"/>
      <c r="M58" s="39">
        <f>'FY25'!S52</f>
        <v>10341.066179858768</v>
      </c>
    </row>
    <row r="59" spans="2:13" s="37" customFormat="1" ht="12" x14ac:dyDescent="0.2">
      <c r="B59" s="86"/>
      <c r="C59" s="199">
        <v>6261</v>
      </c>
      <c r="D59" s="37" t="s">
        <v>207</v>
      </c>
      <c r="E59" s="39">
        <f>'FY21'!S53</f>
        <v>0</v>
      </c>
      <c r="F59" s="39"/>
      <c r="G59" s="39">
        <f>'FY22'!S53</f>
        <v>0</v>
      </c>
      <c r="H59" s="39"/>
      <c r="I59" s="39">
        <f>'FY23'!S53</f>
        <v>0</v>
      </c>
      <c r="J59" s="39"/>
      <c r="K59" s="39">
        <f>'FY24'!S53</f>
        <v>0</v>
      </c>
      <c r="L59" s="39"/>
      <c r="M59" s="39">
        <f>'FY25'!S53</f>
        <v>0</v>
      </c>
    </row>
    <row r="60" spans="2:13" s="37" customFormat="1" ht="12" x14ac:dyDescent="0.2">
      <c r="B60" s="86"/>
      <c r="C60" s="199">
        <v>6264</v>
      </c>
      <c r="D60" s="37" t="s">
        <v>208</v>
      </c>
      <c r="E60" s="39">
        <f>'FY21'!S54</f>
        <v>1872</v>
      </c>
      <c r="F60" s="39"/>
      <c r="G60" s="39">
        <f>'FY22'!S54</f>
        <v>1909.4399999999996</v>
      </c>
      <c r="H60" s="39"/>
      <c r="I60" s="39">
        <f>'FY23'!S54</f>
        <v>1947.6288000000002</v>
      </c>
      <c r="J60" s="39"/>
      <c r="K60" s="39">
        <f>'FY24'!S54</f>
        <v>1986.5813760000001</v>
      </c>
      <c r="L60" s="39"/>
      <c r="M60" s="39">
        <f>'FY25'!S54</f>
        <v>2026.3130035200004</v>
      </c>
    </row>
    <row r="61" spans="2:13" s="37" customFormat="1" ht="12" x14ac:dyDescent="0.2">
      <c r="B61" s="86"/>
      <c r="C61" s="199">
        <v>6267</v>
      </c>
      <c r="D61" s="37" t="s">
        <v>225</v>
      </c>
      <c r="E61" s="39">
        <f>'FY21'!S55</f>
        <v>4328.3999999999987</v>
      </c>
      <c r="F61" s="39"/>
      <c r="G61" s="39">
        <f>'FY22'!S55</f>
        <v>5374.967999999998</v>
      </c>
      <c r="H61" s="39"/>
      <c r="I61" s="39">
        <f>'FY23'!S55</f>
        <v>5482.4673599999987</v>
      </c>
      <c r="J61" s="39"/>
      <c r="K61" s="39">
        <f>'FY24'!S55</f>
        <v>5592.1167071999998</v>
      </c>
      <c r="L61" s="39"/>
      <c r="M61" s="39">
        <f>'FY25'!S55</f>
        <v>5703.9590413439992</v>
      </c>
    </row>
    <row r="62" spans="2:13" s="37" customFormat="1" ht="12" x14ac:dyDescent="0.2">
      <c r="B62" s="86"/>
      <c r="C62" s="199">
        <v>6271</v>
      </c>
      <c r="D62" s="37" t="s">
        <v>209</v>
      </c>
      <c r="E62" s="39">
        <f>'FY21'!S56</f>
        <v>0</v>
      </c>
      <c r="F62" s="39"/>
      <c r="G62" s="39">
        <f>'FY22'!S56</f>
        <v>0</v>
      </c>
      <c r="H62" s="39"/>
      <c r="I62" s="39">
        <f>'FY23'!S56</f>
        <v>0</v>
      </c>
      <c r="J62" s="39"/>
      <c r="K62" s="39">
        <f>'FY24'!S56</f>
        <v>0</v>
      </c>
      <c r="L62" s="39"/>
      <c r="M62" s="39">
        <f>'FY25'!S56</f>
        <v>0</v>
      </c>
    </row>
    <row r="63" spans="2:13" s="37" customFormat="1" ht="12" x14ac:dyDescent="0.2">
      <c r="B63" s="86"/>
      <c r="C63" s="199">
        <v>6274</v>
      </c>
      <c r="D63" s="37" t="s">
        <v>210</v>
      </c>
      <c r="E63" s="39">
        <f>'FY21'!S57</f>
        <v>4001.83275</v>
      </c>
      <c r="F63" s="39"/>
      <c r="G63" s="39">
        <f>'FY22'!S57</f>
        <v>4081.8694049999995</v>
      </c>
      <c r="H63" s="39"/>
      <c r="I63" s="39">
        <f>'FY23'!S57</f>
        <v>4163.5067930999985</v>
      </c>
      <c r="J63" s="39"/>
      <c r="K63" s="39">
        <f>'FY24'!S57</f>
        <v>4246.7769289619982</v>
      </c>
      <c r="L63" s="39"/>
      <c r="M63" s="39">
        <f>'FY25'!S57</f>
        <v>4331.7124675412397</v>
      </c>
    </row>
    <row r="64" spans="2:13" s="37" customFormat="1" ht="12" x14ac:dyDescent="0.2">
      <c r="B64" s="86"/>
      <c r="C64" s="199">
        <v>6277</v>
      </c>
      <c r="D64" s="37" t="s">
        <v>226</v>
      </c>
      <c r="E64" s="39">
        <f>'FY21'!S58</f>
        <v>4867.2396674999991</v>
      </c>
      <c r="F64" s="39"/>
      <c r="G64" s="39">
        <f>'FY22'!S58</f>
        <v>5372.5844608500011</v>
      </c>
      <c r="H64" s="39"/>
      <c r="I64" s="39">
        <f>'FY23'!S58</f>
        <v>5480.0361500670006</v>
      </c>
      <c r="J64" s="39"/>
      <c r="K64" s="39">
        <f>'FY24'!S58</f>
        <v>5589.6368730683416</v>
      </c>
      <c r="L64" s="39"/>
      <c r="M64" s="39">
        <f>'FY25'!S58</f>
        <v>5701.4296105297071</v>
      </c>
    </row>
    <row r="65" spans="2:13" s="37" customFormat="1" ht="12" x14ac:dyDescent="0.2">
      <c r="B65" s="86"/>
      <c r="C65" s="199">
        <v>6281</v>
      </c>
      <c r="D65" s="37" t="s">
        <v>193</v>
      </c>
      <c r="E65" s="39">
        <f>'FY21'!S59</f>
        <v>0</v>
      </c>
      <c r="F65" s="39"/>
      <c r="G65" s="39">
        <f>'FY22'!S59</f>
        <v>0</v>
      </c>
      <c r="H65" s="39"/>
      <c r="I65" s="39">
        <f>'FY23'!S59</f>
        <v>0</v>
      </c>
      <c r="J65" s="39"/>
      <c r="K65" s="39">
        <f>'FY24'!S59</f>
        <v>0</v>
      </c>
      <c r="L65" s="39"/>
      <c r="M65" s="39">
        <f>'FY25'!S59</f>
        <v>0</v>
      </c>
    </row>
    <row r="66" spans="2:13" s="37" customFormat="1" ht="12" x14ac:dyDescent="0.2">
      <c r="B66" s="86"/>
      <c r="C66" s="199">
        <v>6284</v>
      </c>
      <c r="D66" s="37" t="s">
        <v>194</v>
      </c>
      <c r="E66" s="39">
        <f>'FY21'!S60</f>
        <v>19440</v>
      </c>
      <c r="F66" s="39"/>
      <c r="G66" s="39">
        <f>'FY22'!S60</f>
        <v>19828.800000000003</v>
      </c>
      <c r="H66" s="39"/>
      <c r="I66" s="39">
        <f>'FY23'!S60</f>
        <v>20225.376</v>
      </c>
      <c r="J66" s="39"/>
      <c r="K66" s="39">
        <f>'FY24'!S60</f>
        <v>20629.883519999999</v>
      </c>
      <c r="L66" s="39"/>
      <c r="M66" s="39">
        <f>'FY25'!S60</f>
        <v>21042.481190399998</v>
      </c>
    </row>
    <row r="67" spans="2:13" s="37" customFormat="1" ht="12" x14ac:dyDescent="0.2">
      <c r="B67" s="86"/>
      <c r="C67" s="199">
        <v>6287</v>
      </c>
      <c r="D67" s="37" t="s">
        <v>227</v>
      </c>
      <c r="E67" s="39">
        <f>'FY21'!S61</f>
        <v>38880</v>
      </c>
      <c r="F67" s="39"/>
      <c r="G67" s="39">
        <f>'FY22'!S61</f>
        <v>44697.600000000006</v>
      </c>
      <c r="H67" s="39"/>
      <c r="I67" s="39">
        <f>'FY23'!S61</f>
        <v>45591.552000000018</v>
      </c>
      <c r="J67" s="39"/>
      <c r="K67" s="39">
        <f>'FY24'!S61</f>
        <v>46503.383040000008</v>
      </c>
      <c r="L67" s="39"/>
      <c r="M67" s="39">
        <f>'FY25'!S61</f>
        <v>47433.4507008</v>
      </c>
    </row>
    <row r="68" spans="2:13" s="37" customFormat="1" ht="12" x14ac:dyDescent="0.2">
      <c r="B68" s="86"/>
      <c r="C68" s="38"/>
      <c r="E68" s="50">
        <f>SUBTOTAL(9,E49:E67)</f>
        <v>344106.77658050007</v>
      </c>
      <c r="F68" s="39"/>
      <c r="G68" s="50">
        <f>SUBTOTAL(9,G49:G67)</f>
        <v>366852.91211210995</v>
      </c>
      <c r="H68" s="39"/>
      <c r="I68" s="50">
        <f>SUBTOTAL(9,I49:I67)</f>
        <v>374189.9703543522</v>
      </c>
      <c r="J68" s="39"/>
      <c r="K68" s="50">
        <f>SUBTOTAL(9,K49:K67)</f>
        <v>381673.76976143918</v>
      </c>
      <c r="L68" s="39"/>
      <c r="M68" s="50">
        <f>SUBTOTAL(9,M49:M67)</f>
        <v>389307.24515666813</v>
      </c>
    </row>
    <row r="69" spans="2:13" s="37" customFormat="1" ht="12" x14ac:dyDescent="0.2">
      <c r="B69" s="86"/>
      <c r="C69" s="49" t="s">
        <v>9</v>
      </c>
      <c r="E69" s="220"/>
      <c r="F69" s="220"/>
      <c r="G69" s="220"/>
      <c r="H69" s="220"/>
      <c r="I69" s="220"/>
      <c r="J69" s="220"/>
      <c r="K69" s="220"/>
      <c r="L69" s="220"/>
      <c r="M69" s="220"/>
    </row>
    <row r="70" spans="2:13" s="37" customFormat="1" ht="12" x14ac:dyDescent="0.2">
      <c r="B70" s="86"/>
      <c r="C70" s="199">
        <v>6300</v>
      </c>
      <c r="D70" s="37" t="s">
        <v>9</v>
      </c>
      <c r="E70" s="39">
        <f>'FY21'!S64</f>
        <v>52615</v>
      </c>
      <c r="F70" s="39"/>
      <c r="G70" s="39">
        <f>'FY22'!S64</f>
        <v>53667.299999999996</v>
      </c>
      <c r="H70" s="39"/>
      <c r="I70" s="39">
        <f>'FY23'!S64</f>
        <v>54740.646000000008</v>
      </c>
      <c r="J70" s="39"/>
      <c r="K70" s="39">
        <f>'FY24'!S64</f>
        <v>55835.458920000005</v>
      </c>
      <c r="L70" s="39"/>
      <c r="M70" s="39">
        <f>'FY25'!S64</f>
        <v>56952.168098399998</v>
      </c>
    </row>
    <row r="71" spans="2:13" s="37" customFormat="1" ht="12" x14ac:dyDescent="0.2">
      <c r="B71" s="86"/>
      <c r="C71" s="199">
        <v>6320</v>
      </c>
      <c r="D71" s="37" t="s">
        <v>10</v>
      </c>
      <c r="E71" s="39">
        <f>'FY21'!S65</f>
        <v>49875</v>
      </c>
      <c r="F71" s="39"/>
      <c r="G71" s="39">
        <f>'FY22'!S65</f>
        <v>50872.5</v>
      </c>
      <c r="H71" s="39"/>
      <c r="I71" s="39">
        <f>'FY23'!S65</f>
        <v>51889.950000000004</v>
      </c>
      <c r="J71" s="39"/>
      <c r="K71" s="39">
        <f>'FY24'!S65</f>
        <v>52927.749000000003</v>
      </c>
      <c r="L71" s="39"/>
      <c r="M71" s="39">
        <f>'FY25'!S65</f>
        <v>53986.303980000004</v>
      </c>
    </row>
    <row r="72" spans="2:13" s="37" customFormat="1" ht="12" x14ac:dyDescent="0.2">
      <c r="B72" s="86"/>
      <c r="C72" s="199">
        <v>6334</v>
      </c>
      <c r="D72" s="37" t="s">
        <v>11</v>
      </c>
      <c r="E72" s="39">
        <f>'FY21'!S66</f>
        <v>2000</v>
      </c>
      <c r="F72" s="39"/>
      <c r="G72" s="39">
        <f>'FY22'!S66</f>
        <v>2040</v>
      </c>
      <c r="H72" s="39"/>
      <c r="I72" s="39">
        <f>'FY23'!S66</f>
        <v>2080.8000000000002</v>
      </c>
      <c r="J72" s="39"/>
      <c r="K72" s="39">
        <f>'FY24'!S66</f>
        <v>2122.4160000000002</v>
      </c>
      <c r="L72" s="39"/>
      <c r="M72" s="39">
        <f>'FY25'!S66</f>
        <v>2164.8643200000001</v>
      </c>
    </row>
    <row r="73" spans="2:13" s="37" customFormat="1" ht="12" x14ac:dyDescent="0.2">
      <c r="B73" s="86"/>
      <c r="C73" s="199">
        <v>6333</v>
      </c>
      <c r="D73" s="37" t="s">
        <v>12</v>
      </c>
      <c r="E73" s="39">
        <f>'FY21'!S67</f>
        <v>15713</v>
      </c>
      <c r="F73" s="39"/>
      <c r="G73" s="39">
        <f>'FY22'!S67</f>
        <v>16027.259999999997</v>
      </c>
      <c r="H73" s="39"/>
      <c r="I73" s="39">
        <f>'FY23'!S67</f>
        <v>16347.805200000006</v>
      </c>
      <c r="J73" s="39"/>
      <c r="K73" s="39">
        <f>'FY24'!S67</f>
        <v>16674.761304</v>
      </c>
      <c r="L73" s="39"/>
      <c r="M73" s="39">
        <f>'FY25'!S67</f>
        <v>17008.256530079998</v>
      </c>
    </row>
    <row r="74" spans="2:13" s="37" customFormat="1" ht="12" x14ac:dyDescent="0.2">
      <c r="B74" s="86"/>
      <c r="C74" s="199">
        <v>6336</v>
      </c>
      <c r="D74" s="37" t="s">
        <v>13</v>
      </c>
      <c r="E74" s="39">
        <f>'FY21'!S68</f>
        <v>8110</v>
      </c>
      <c r="F74" s="39"/>
      <c r="G74" s="39">
        <f>'FY22'!S68</f>
        <v>8272.2000000000007</v>
      </c>
      <c r="H74" s="39"/>
      <c r="I74" s="39">
        <f>'FY23'!S68</f>
        <v>8437.6440000000021</v>
      </c>
      <c r="J74" s="39"/>
      <c r="K74" s="39">
        <f>'FY24'!S68</f>
        <v>8606.3968799999984</v>
      </c>
      <c r="L74" s="39"/>
      <c r="M74" s="39">
        <f>'FY25'!S68</f>
        <v>8778.5248176000023</v>
      </c>
    </row>
    <row r="75" spans="2:13" s="37" customFormat="1" ht="12" x14ac:dyDescent="0.2">
      <c r="B75" s="86"/>
      <c r="C75" s="199">
        <v>6337</v>
      </c>
      <c r="D75" s="37" t="s">
        <v>14</v>
      </c>
      <c r="E75" s="39">
        <f>'FY21'!S69</f>
        <v>8110</v>
      </c>
      <c r="F75" s="39"/>
      <c r="G75" s="39">
        <f>'FY22'!S69</f>
        <v>8272.2000000000007</v>
      </c>
      <c r="H75" s="39"/>
      <c r="I75" s="39">
        <f>'FY23'!S69</f>
        <v>8437.6440000000021</v>
      </c>
      <c r="J75" s="39"/>
      <c r="K75" s="39">
        <f>'FY24'!S69</f>
        <v>8606.3968799999984</v>
      </c>
      <c r="L75" s="39"/>
      <c r="M75" s="39">
        <f>'FY25'!S69</f>
        <v>8778.5248176000023</v>
      </c>
    </row>
    <row r="76" spans="2:13" s="37" customFormat="1" ht="12" x14ac:dyDescent="0.2">
      <c r="B76" s="86"/>
      <c r="C76" s="199">
        <v>6340</v>
      </c>
      <c r="D76" s="37" t="s">
        <v>15</v>
      </c>
      <c r="E76" s="39">
        <f>'FY21'!S70</f>
        <v>62514.239999999998</v>
      </c>
      <c r="F76" s="39"/>
      <c r="G76" s="39">
        <f>'FY22'!S70</f>
        <v>63764.524799999999</v>
      </c>
      <c r="H76" s="39"/>
      <c r="I76" s="39">
        <f>'FY23'!S70</f>
        <v>65039.815295999993</v>
      </c>
      <c r="J76" s="39"/>
      <c r="K76" s="39">
        <f>'FY24'!S70</f>
        <v>66340.611601919998</v>
      </c>
      <c r="L76" s="39"/>
      <c r="M76" s="39">
        <f>'FY25'!S70</f>
        <v>67667.423833958412</v>
      </c>
    </row>
    <row r="77" spans="2:13" s="37" customFormat="1" ht="12" x14ac:dyDescent="0.2">
      <c r="B77" s="86"/>
      <c r="C77" s="199">
        <v>6345</v>
      </c>
      <c r="D77" s="37" t="s">
        <v>16</v>
      </c>
      <c r="E77" s="39">
        <f>'FY21'!S71</f>
        <v>21900</v>
      </c>
      <c r="F77" s="39"/>
      <c r="G77" s="39">
        <f>'FY22'!S71</f>
        <v>22338</v>
      </c>
      <c r="H77" s="39"/>
      <c r="I77" s="39">
        <f>'FY23'!S71</f>
        <v>22784.760000000002</v>
      </c>
      <c r="J77" s="39"/>
      <c r="K77" s="39">
        <f>'FY24'!S71</f>
        <v>23240.4552</v>
      </c>
      <c r="L77" s="39"/>
      <c r="M77" s="39">
        <f>'FY25'!S71</f>
        <v>23705.264304000008</v>
      </c>
    </row>
    <row r="78" spans="2:13" s="37" customFormat="1" ht="12" x14ac:dyDescent="0.2">
      <c r="B78" s="86"/>
      <c r="C78" s="199">
        <v>6350</v>
      </c>
      <c r="D78" s="37" t="s">
        <v>17</v>
      </c>
      <c r="E78" s="39">
        <f>'FY21'!S72</f>
        <v>6200</v>
      </c>
      <c r="F78" s="39"/>
      <c r="G78" s="39">
        <f>'FY22'!S72</f>
        <v>6324</v>
      </c>
      <c r="H78" s="39"/>
      <c r="I78" s="39">
        <f>'FY23'!S72</f>
        <v>6450.4800000000005</v>
      </c>
      <c r="J78" s="39"/>
      <c r="K78" s="39">
        <f>'FY24'!S72</f>
        <v>6579.4895999999999</v>
      </c>
      <c r="L78" s="39"/>
      <c r="M78" s="39">
        <f>'FY25'!S72</f>
        <v>6711.0793919999996</v>
      </c>
    </row>
    <row r="79" spans="2:13" s="37" customFormat="1" ht="12" x14ac:dyDescent="0.2">
      <c r="B79" s="86"/>
      <c r="C79" s="199">
        <v>6351</v>
      </c>
      <c r="D79" s="37" t="s">
        <v>18</v>
      </c>
      <c r="E79" s="39">
        <f>'FY21'!S73</f>
        <v>37619</v>
      </c>
      <c r="F79" s="39"/>
      <c r="G79" s="39">
        <f>'FY22'!S73</f>
        <v>38371.379999999997</v>
      </c>
      <c r="H79" s="39"/>
      <c r="I79" s="39">
        <f>'FY23'!S73</f>
        <v>39138.8076</v>
      </c>
      <c r="J79" s="39"/>
      <c r="K79" s="39">
        <f>'FY24'!S73</f>
        <v>39921.583752000006</v>
      </c>
      <c r="L79" s="39"/>
      <c r="M79" s="39">
        <f>'FY25'!S73</f>
        <v>40720.015427040002</v>
      </c>
    </row>
    <row r="80" spans="2:13" s="37" customFormat="1" ht="12" x14ac:dyDescent="0.2">
      <c r="B80" s="86"/>
      <c r="C80" s="38"/>
      <c r="E80" s="50">
        <f>SUBTOTAL(9,E70:E79)</f>
        <v>264656.24</v>
      </c>
      <c r="F80" s="39"/>
      <c r="G80" s="50">
        <f>SUBTOTAL(9,G70:G79)</f>
        <v>269949.36479999998</v>
      </c>
      <c r="H80" s="39"/>
      <c r="I80" s="50">
        <f>SUBTOTAL(9,I70:I79)</f>
        <v>275348.35209600005</v>
      </c>
      <c r="J80" s="39"/>
      <c r="K80" s="50">
        <f>SUBTOTAL(9,K70:K79)</f>
        <v>280855.31913791999</v>
      </c>
      <c r="L80" s="39"/>
      <c r="M80" s="50">
        <f>SUBTOTAL(9,M70:M79)</f>
        <v>286472.4255206784</v>
      </c>
    </row>
    <row r="81" spans="2:13" s="37" customFormat="1" ht="12" x14ac:dyDescent="0.2">
      <c r="B81" s="86"/>
      <c r="C81" s="49" t="s">
        <v>100</v>
      </c>
      <c r="E81" s="39"/>
      <c r="F81" s="39"/>
      <c r="G81" s="39"/>
      <c r="H81" s="39"/>
      <c r="I81" s="39"/>
      <c r="J81" s="39"/>
      <c r="K81" s="39"/>
      <c r="L81" s="39"/>
      <c r="M81" s="39"/>
    </row>
    <row r="82" spans="2:13" s="37" customFormat="1" ht="12" x14ac:dyDescent="0.2">
      <c r="B82" s="86"/>
      <c r="C82" s="199">
        <v>6410</v>
      </c>
      <c r="D82" s="37" t="s">
        <v>19</v>
      </c>
      <c r="E82" s="39">
        <f>'FY21'!S76</f>
        <v>0</v>
      </c>
      <c r="F82" s="39"/>
      <c r="G82" s="39">
        <f>'FY22'!S76</f>
        <v>0</v>
      </c>
      <c r="H82" s="39"/>
      <c r="I82" s="39">
        <f>'FY23'!S76</f>
        <v>0</v>
      </c>
      <c r="J82" s="39"/>
      <c r="K82" s="39">
        <f>'FY24'!S76</f>
        <v>0</v>
      </c>
      <c r="L82" s="39"/>
      <c r="M82" s="39">
        <f>'FY25'!S76</f>
        <v>0</v>
      </c>
    </row>
    <row r="83" spans="2:13" s="37" customFormat="1" ht="12" x14ac:dyDescent="0.2">
      <c r="B83" s="86"/>
      <c r="C83" s="199">
        <v>6420</v>
      </c>
      <c r="D83" s="37" t="s">
        <v>20</v>
      </c>
      <c r="E83" s="39">
        <f>'FY21'!S77</f>
        <v>5620</v>
      </c>
      <c r="F83" s="39"/>
      <c r="G83" s="39">
        <f>'FY22'!S77</f>
        <v>5732.4</v>
      </c>
      <c r="H83" s="39"/>
      <c r="I83" s="39">
        <f>'FY23'!S77</f>
        <v>5847.0479999999998</v>
      </c>
      <c r="J83" s="39"/>
      <c r="K83" s="39">
        <f>'FY24'!S77</f>
        <v>5963.9889599999997</v>
      </c>
      <c r="L83" s="39"/>
      <c r="M83" s="39">
        <f>'FY25'!S77</f>
        <v>6083.2687392000016</v>
      </c>
    </row>
    <row r="84" spans="2:13" s="37" customFormat="1" ht="12" x14ac:dyDescent="0.2">
      <c r="B84" s="86"/>
      <c r="C84" s="199">
        <v>6430</v>
      </c>
      <c r="D84" s="37" t="s">
        <v>21</v>
      </c>
      <c r="E84" s="39">
        <f>'FY21'!S78</f>
        <v>600</v>
      </c>
      <c r="F84" s="39"/>
      <c r="G84" s="39">
        <f>'FY22'!S78</f>
        <v>612</v>
      </c>
      <c r="H84" s="39"/>
      <c r="I84" s="39">
        <f>'FY23'!S78</f>
        <v>624.24</v>
      </c>
      <c r="J84" s="39"/>
      <c r="K84" s="39">
        <f>'FY24'!S78</f>
        <v>636.72480000000007</v>
      </c>
      <c r="L84" s="39"/>
      <c r="M84" s="39">
        <f>'FY25'!S78</f>
        <v>649.45929600000011</v>
      </c>
    </row>
    <row r="85" spans="2:13" s="37" customFormat="1" ht="12" x14ac:dyDescent="0.2">
      <c r="B85" s="86"/>
      <c r="C85" s="199">
        <v>6441</v>
      </c>
      <c r="D85" s="37" t="s">
        <v>22</v>
      </c>
      <c r="E85" s="39">
        <f>'FY21'!S79</f>
        <v>103756</v>
      </c>
      <c r="F85" s="39"/>
      <c r="G85" s="39">
        <f>'FY22'!S79</f>
        <v>105831.11999999998</v>
      </c>
      <c r="H85" s="39"/>
      <c r="I85" s="39">
        <f>'FY23'!S79</f>
        <v>107947.74240000002</v>
      </c>
      <c r="J85" s="39"/>
      <c r="K85" s="39">
        <f>'FY24'!S79</f>
        <v>110106.69724800003</v>
      </c>
      <c r="L85" s="39"/>
      <c r="M85" s="39">
        <f>'FY25'!S79</f>
        <v>112308.83119295999</v>
      </c>
    </row>
    <row r="86" spans="2:13" s="37" customFormat="1" ht="12" x14ac:dyDescent="0.2">
      <c r="B86" s="86"/>
      <c r="C86" s="38"/>
      <c r="E86" s="50">
        <f>SUBTOTAL(9,E82:E85)</f>
        <v>109976</v>
      </c>
      <c r="F86" s="39"/>
      <c r="G86" s="50">
        <f>SUBTOTAL(9,G82:G85)</f>
        <v>112175.51999999997</v>
      </c>
      <c r="H86" s="39"/>
      <c r="I86" s="50">
        <f>SUBTOTAL(9,I82:I85)</f>
        <v>114419.03040000002</v>
      </c>
      <c r="J86" s="39"/>
      <c r="K86" s="50">
        <f>SUBTOTAL(9,K82:K85)</f>
        <v>116707.41100800002</v>
      </c>
      <c r="L86" s="39"/>
      <c r="M86" s="50">
        <f>SUBTOTAL(9,M82:M85)</f>
        <v>119041.55922815998</v>
      </c>
    </row>
    <row r="87" spans="2:13" s="37" customFormat="1" ht="12" x14ac:dyDescent="0.2">
      <c r="B87" s="86"/>
      <c r="C87" s="49" t="s">
        <v>101</v>
      </c>
      <c r="E87" s="39"/>
      <c r="F87" s="39"/>
      <c r="G87" s="39"/>
      <c r="H87" s="39"/>
      <c r="I87" s="39"/>
      <c r="J87" s="39"/>
      <c r="K87" s="39"/>
      <c r="L87" s="39"/>
      <c r="M87" s="39"/>
    </row>
    <row r="88" spans="2:13" s="37" customFormat="1" ht="12" x14ac:dyDescent="0.2">
      <c r="B88" s="86"/>
      <c r="C88" s="199">
        <v>6519</v>
      </c>
      <c r="D88" s="37" t="s">
        <v>234</v>
      </c>
      <c r="E88" s="39">
        <f>'FY21'!S82</f>
        <v>0</v>
      </c>
      <c r="F88" s="39"/>
      <c r="G88" s="39">
        <f>'FY22'!S82</f>
        <v>0</v>
      </c>
      <c r="H88" s="39"/>
      <c r="I88" s="39">
        <f>'FY23'!S82</f>
        <v>0</v>
      </c>
      <c r="J88" s="39"/>
      <c r="K88" s="39">
        <f>'FY24'!S82</f>
        <v>0</v>
      </c>
      <c r="L88" s="39"/>
      <c r="M88" s="39">
        <f>'FY25'!S82</f>
        <v>0</v>
      </c>
    </row>
    <row r="89" spans="2:13" s="37" customFormat="1" ht="12" x14ac:dyDescent="0.2">
      <c r="B89" s="86"/>
      <c r="C89" s="199">
        <v>6521</v>
      </c>
      <c r="D89" s="37" t="s">
        <v>24</v>
      </c>
      <c r="E89" s="39">
        <f>'FY21'!S83</f>
        <v>1779.9999999999998</v>
      </c>
      <c r="F89" s="39"/>
      <c r="G89" s="39">
        <f>'FY22'!S83</f>
        <v>1815.5999999999997</v>
      </c>
      <c r="H89" s="39"/>
      <c r="I89" s="39">
        <f>'FY23'!S83</f>
        <v>1851.9120000000003</v>
      </c>
      <c r="J89" s="39"/>
      <c r="K89" s="39">
        <f>'FY24'!S83</f>
        <v>1888.9502400000008</v>
      </c>
      <c r="L89" s="39"/>
      <c r="M89" s="39">
        <f>'FY25'!S83</f>
        <v>1926.7292447999998</v>
      </c>
    </row>
    <row r="90" spans="2:13" s="37" customFormat="1" ht="12" x14ac:dyDescent="0.2">
      <c r="B90" s="86"/>
      <c r="C90" s="199">
        <v>6522</v>
      </c>
      <c r="D90" s="37" t="s">
        <v>25</v>
      </c>
      <c r="E90" s="39">
        <f>'FY21'!S84</f>
        <v>30167.000000000011</v>
      </c>
      <c r="F90" s="39"/>
      <c r="G90" s="39">
        <f>'FY22'!S84</f>
        <v>30770.34</v>
      </c>
      <c r="H90" s="39"/>
      <c r="I90" s="39">
        <f>'FY23'!S84</f>
        <v>31385.746800000008</v>
      </c>
      <c r="J90" s="39"/>
      <c r="K90" s="39">
        <f>'FY24'!S84</f>
        <v>32013.461735999994</v>
      </c>
      <c r="L90" s="39"/>
      <c r="M90" s="39">
        <f>'FY25'!S84</f>
        <v>32653.730970720007</v>
      </c>
    </row>
    <row r="91" spans="2:13" s="37" customFormat="1" ht="12" x14ac:dyDescent="0.2">
      <c r="B91" s="86"/>
      <c r="C91" s="199">
        <v>6523</v>
      </c>
      <c r="D91" s="37" t="s">
        <v>26</v>
      </c>
      <c r="E91" s="39">
        <f>'FY21'!S85</f>
        <v>14395.999999999995</v>
      </c>
      <c r="F91" s="39"/>
      <c r="G91" s="39">
        <f>'FY22'!S85</f>
        <v>14683.919999999998</v>
      </c>
      <c r="H91" s="39"/>
      <c r="I91" s="39">
        <f>'FY23'!S85</f>
        <v>14977.598400000001</v>
      </c>
      <c r="J91" s="39"/>
      <c r="K91" s="39">
        <f>'FY24'!S85</f>
        <v>15277.150367999993</v>
      </c>
      <c r="L91" s="39"/>
      <c r="M91" s="39">
        <f>'FY25'!S85</f>
        <v>15582.693375360001</v>
      </c>
    </row>
    <row r="92" spans="2:13" s="37" customFormat="1" ht="12" x14ac:dyDescent="0.2">
      <c r="B92" s="86"/>
      <c r="C92" s="199">
        <v>6531</v>
      </c>
      <c r="D92" s="37" t="s">
        <v>27</v>
      </c>
      <c r="E92" s="39">
        <f>'FY21'!S86</f>
        <v>5524</v>
      </c>
      <c r="F92" s="39"/>
      <c r="G92" s="39">
        <f>'FY22'!S86</f>
        <v>5634.4800000000005</v>
      </c>
      <c r="H92" s="39"/>
      <c r="I92" s="39">
        <f>'FY23'!S86</f>
        <v>5747.1695999999993</v>
      </c>
      <c r="J92" s="39"/>
      <c r="K92" s="39">
        <f>'FY24'!S86</f>
        <v>5862.1129920000003</v>
      </c>
      <c r="L92" s="39"/>
      <c r="M92" s="39">
        <f>'FY25'!S86</f>
        <v>5979.3552518399993</v>
      </c>
    </row>
    <row r="93" spans="2:13" s="37" customFormat="1" ht="12" x14ac:dyDescent="0.2">
      <c r="B93" s="86"/>
      <c r="C93" s="199">
        <v>6534</v>
      </c>
      <c r="D93" s="37" t="s">
        <v>28</v>
      </c>
      <c r="E93" s="39">
        <f>'FY21'!S87</f>
        <v>3240</v>
      </c>
      <c r="F93" s="39"/>
      <c r="G93" s="39">
        <f>'FY22'!S87</f>
        <v>3304.8000000000006</v>
      </c>
      <c r="H93" s="39"/>
      <c r="I93" s="39">
        <f>'FY23'!S87</f>
        <v>3370.8959999999993</v>
      </c>
      <c r="J93" s="39"/>
      <c r="K93" s="39">
        <f>'FY24'!S87</f>
        <v>3438.3139199999991</v>
      </c>
      <c r="L93" s="39"/>
      <c r="M93" s="39">
        <f>'FY25'!S87</f>
        <v>3507.0801983999986</v>
      </c>
    </row>
    <row r="94" spans="2:13" s="37" customFormat="1" ht="12" x14ac:dyDescent="0.2">
      <c r="B94" s="86"/>
      <c r="C94" s="199">
        <v>6535</v>
      </c>
      <c r="D94" s="37" t="s">
        <v>235</v>
      </c>
      <c r="E94" s="39">
        <f>'FY21'!S88</f>
        <v>52972.55999999999</v>
      </c>
      <c r="F94" s="39"/>
      <c r="G94" s="39">
        <f>'FY22'!S88</f>
        <v>54032.011200000001</v>
      </c>
      <c r="H94" s="39"/>
      <c r="I94" s="39">
        <f>'FY23'!S88</f>
        <v>55112.651424000011</v>
      </c>
      <c r="J94" s="39"/>
      <c r="K94" s="39">
        <f>'FY24'!S88</f>
        <v>56214.904452480005</v>
      </c>
      <c r="L94" s="39"/>
      <c r="M94" s="39">
        <f>'FY25'!S88</f>
        <v>57339.202541529579</v>
      </c>
    </row>
    <row r="95" spans="2:13" s="37" customFormat="1" ht="12" x14ac:dyDescent="0.2">
      <c r="B95" s="86"/>
      <c r="C95" s="199">
        <v>6540</v>
      </c>
      <c r="D95" s="37" t="s">
        <v>30</v>
      </c>
      <c r="E95" s="39">
        <f>'FY21'!S89</f>
        <v>60458.71</v>
      </c>
      <c r="F95" s="39"/>
      <c r="G95" s="39">
        <f>'FY22'!S89</f>
        <v>61667.8842</v>
      </c>
      <c r="H95" s="39"/>
      <c r="I95" s="39">
        <f>'FY23'!S89</f>
        <v>62901.241884000003</v>
      </c>
      <c r="J95" s="39"/>
      <c r="K95" s="39">
        <f>'FY24'!S89</f>
        <v>64159.266721679996</v>
      </c>
      <c r="L95" s="39"/>
      <c r="M95" s="39">
        <f>'FY25'!S89</f>
        <v>65442.452056113601</v>
      </c>
    </row>
    <row r="96" spans="2:13" s="37" customFormat="1" ht="12" x14ac:dyDescent="0.2">
      <c r="B96" s="86"/>
      <c r="C96" s="199">
        <v>6550</v>
      </c>
      <c r="D96" s="37" t="s">
        <v>31</v>
      </c>
      <c r="E96" s="39">
        <f>'FY21'!S90</f>
        <v>621.72</v>
      </c>
      <c r="F96" s="39"/>
      <c r="G96" s="39">
        <f>'FY22'!S90</f>
        <v>634.15440000000001</v>
      </c>
      <c r="H96" s="39"/>
      <c r="I96" s="39">
        <f>'FY23'!S90</f>
        <v>646.83748800000001</v>
      </c>
      <c r="J96" s="39"/>
      <c r="K96" s="39">
        <f>'FY24'!S90</f>
        <v>659.77423776000001</v>
      </c>
      <c r="L96" s="39"/>
      <c r="M96" s="39">
        <f>'FY25'!S90</f>
        <v>672.96972251520003</v>
      </c>
    </row>
    <row r="97" spans="2:13" s="37" customFormat="1" ht="12" x14ac:dyDescent="0.2">
      <c r="B97" s="86"/>
      <c r="C97" s="199">
        <v>6568</v>
      </c>
      <c r="D97" s="37" t="s">
        <v>186</v>
      </c>
      <c r="E97" s="39">
        <f>'FY21'!S91</f>
        <v>0</v>
      </c>
      <c r="F97" s="39"/>
      <c r="G97" s="39">
        <f>'FY22'!S91</f>
        <v>0</v>
      </c>
      <c r="H97" s="39"/>
      <c r="I97" s="39">
        <f>'FY23'!S91</f>
        <v>0</v>
      </c>
      <c r="J97" s="39"/>
      <c r="K97" s="39">
        <f>'FY24'!S91</f>
        <v>0</v>
      </c>
      <c r="L97" s="39"/>
      <c r="M97" s="39">
        <f>'FY25'!S91</f>
        <v>0</v>
      </c>
    </row>
    <row r="98" spans="2:13" s="37" customFormat="1" ht="12" x14ac:dyDescent="0.2">
      <c r="B98" s="86"/>
      <c r="C98" s="199">
        <v>6569</v>
      </c>
      <c r="D98" s="37" t="s">
        <v>32</v>
      </c>
      <c r="E98" s="39">
        <f>'FY21'!S92</f>
        <v>0</v>
      </c>
      <c r="F98" s="39"/>
      <c r="G98" s="39">
        <f>'FY22'!S92</f>
        <v>0</v>
      </c>
      <c r="H98" s="39"/>
      <c r="I98" s="39">
        <f>'FY23'!S92</f>
        <v>0</v>
      </c>
      <c r="J98" s="39"/>
      <c r="K98" s="39">
        <f>'FY24'!S92</f>
        <v>0</v>
      </c>
      <c r="L98" s="39"/>
      <c r="M98" s="39">
        <f>'FY25'!S92</f>
        <v>0</v>
      </c>
    </row>
    <row r="99" spans="2:13" s="37" customFormat="1" ht="12" x14ac:dyDescent="0.2">
      <c r="B99" s="86"/>
      <c r="C99" s="199">
        <v>6580</v>
      </c>
      <c r="D99" s="37" t="s">
        <v>33</v>
      </c>
      <c r="E99" s="39">
        <f>'FY21'!S93</f>
        <v>19555</v>
      </c>
      <c r="F99" s="39"/>
      <c r="G99" s="39">
        <f>'FY22'!S93</f>
        <v>19946.099999999999</v>
      </c>
      <c r="H99" s="39"/>
      <c r="I99" s="39">
        <f>'FY23'!S93</f>
        <v>20345.022000000001</v>
      </c>
      <c r="J99" s="39"/>
      <c r="K99" s="39">
        <f>'FY24'!S93</f>
        <v>20751.922439999998</v>
      </c>
      <c r="L99" s="39"/>
      <c r="M99" s="39">
        <f>'FY25'!S93</f>
        <v>21166.9608888</v>
      </c>
    </row>
    <row r="100" spans="2:13" s="37" customFormat="1" ht="12" x14ac:dyDescent="0.2">
      <c r="B100" s="86"/>
      <c r="C100" s="38"/>
      <c r="E100" s="50">
        <f>SUBTOTAL(9,E88:E99)</f>
        <v>188714.99</v>
      </c>
      <c r="F100" s="39"/>
      <c r="G100" s="50">
        <f>SUBTOTAL(9,G88:G99)</f>
        <v>192489.2898</v>
      </c>
      <c r="H100" s="39"/>
      <c r="I100" s="50">
        <f>SUBTOTAL(9,I88:I99)</f>
        <v>196339.07559600001</v>
      </c>
      <c r="J100" s="39"/>
      <c r="K100" s="50">
        <f>SUBTOTAL(9,K88:K99)</f>
        <v>200265.85710791999</v>
      </c>
      <c r="L100" s="39"/>
      <c r="M100" s="50">
        <f>SUBTOTAL(9,M88:M99)</f>
        <v>204271.17425007842</v>
      </c>
    </row>
    <row r="101" spans="2:13" s="37" customFormat="1" ht="12" x14ac:dyDescent="0.2">
      <c r="B101" s="86"/>
      <c r="C101" s="49" t="s">
        <v>102</v>
      </c>
      <c r="E101" s="39"/>
      <c r="F101" s="39"/>
      <c r="G101" s="39"/>
      <c r="H101" s="39"/>
      <c r="I101" s="39"/>
      <c r="J101" s="39"/>
      <c r="K101" s="39"/>
      <c r="L101" s="39"/>
      <c r="M101" s="39"/>
    </row>
    <row r="102" spans="2:13" s="37" customFormat="1" ht="12" x14ac:dyDescent="0.2">
      <c r="B102" s="86"/>
      <c r="C102" s="199">
        <v>6610</v>
      </c>
      <c r="D102" s="37" t="s">
        <v>34</v>
      </c>
      <c r="E102" s="39">
        <f>'FY21'!S96</f>
        <v>13130</v>
      </c>
      <c r="F102" s="39"/>
      <c r="G102" s="39">
        <f>'FY22'!S96</f>
        <v>13392.6</v>
      </c>
      <c r="H102" s="39"/>
      <c r="I102" s="39">
        <f>'FY23'!S96</f>
        <v>13660.451999999997</v>
      </c>
      <c r="J102" s="39"/>
      <c r="K102" s="39">
        <f>'FY24'!S96</f>
        <v>13933.661040000003</v>
      </c>
      <c r="L102" s="39"/>
      <c r="M102" s="39">
        <f>'FY25'!S96</f>
        <v>14212.334260800002</v>
      </c>
    </row>
    <row r="103" spans="2:13" s="37" customFormat="1" ht="12" x14ac:dyDescent="0.2">
      <c r="B103" s="86"/>
      <c r="C103" s="199">
        <v>6612</v>
      </c>
      <c r="D103" s="37" t="s">
        <v>35</v>
      </c>
      <c r="E103" s="39">
        <f>'FY21'!S97</f>
        <v>1500</v>
      </c>
      <c r="F103" s="39"/>
      <c r="G103" s="39">
        <f>'FY22'!S97</f>
        <v>1530</v>
      </c>
      <c r="H103" s="39"/>
      <c r="I103" s="39">
        <f>'FY23'!S97</f>
        <v>1560.6000000000001</v>
      </c>
      <c r="J103" s="39"/>
      <c r="K103" s="39">
        <f>'FY24'!S97</f>
        <v>1591.8120000000001</v>
      </c>
      <c r="L103" s="39"/>
      <c r="M103" s="39">
        <f>'FY25'!S97</f>
        <v>1623.6482400000002</v>
      </c>
    </row>
    <row r="104" spans="2:13" s="37" customFormat="1" ht="12" x14ac:dyDescent="0.2">
      <c r="B104" s="86"/>
      <c r="C104" s="199">
        <v>6622</v>
      </c>
      <c r="D104" s="37" t="s">
        <v>36</v>
      </c>
      <c r="E104" s="39">
        <f>'FY21'!S98</f>
        <v>0</v>
      </c>
      <c r="F104" s="39"/>
      <c r="G104" s="39">
        <f>'FY22'!S98</f>
        <v>0</v>
      </c>
      <c r="H104" s="39"/>
      <c r="I104" s="39">
        <f>'FY23'!S98</f>
        <v>0</v>
      </c>
      <c r="J104" s="39"/>
      <c r="K104" s="39">
        <f>'FY24'!S98</f>
        <v>0</v>
      </c>
      <c r="L104" s="39"/>
      <c r="M104" s="39">
        <f>'FY25'!S98</f>
        <v>0</v>
      </c>
    </row>
    <row r="105" spans="2:13" s="37" customFormat="1" ht="12" x14ac:dyDescent="0.2">
      <c r="B105" s="86"/>
      <c r="C105" s="199">
        <v>6641</v>
      </c>
      <c r="D105" s="37" t="s">
        <v>37</v>
      </c>
      <c r="E105" s="39">
        <f>'FY21'!S99</f>
        <v>0</v>
      </c>
      <c r="F105" s="39"/>
      <c r="G105" s="39">
        <f>'FY22'!S99</f>
        <v>0</v>
      </c>
      <c r="H105" s="39"/>
      <c r="I105" s="39">
        <f>'FY23'!S99</f>
        <v>0</v>
      </c>
      <c r="J105" s="39"/>
      <c r="K105" s="39">
        <f>'FY24'!S99</f>
        <v>0</v>
      </c>
      <c r="L105" s="39"/>
      <c r="M105" s="39">
        <f>'FY25'!S99</f>
        <v>0</v>
      </c>
    </row>
    <row r="106" spans="2:13" s="37" customFormat="1" ht="12" x14ac:dyDescent="0.2">
      <c r="B106" s="86"/>
      <c r="C106" s="199">
        <v>6642</v>
      </c>
      <c r="D106" s="37" t="s">
        <v>38</v>
      </c>
      <c r="E106" s="39">
        <f>'FY21'!S100</f>
        <v>0</v>
      </c>
      <c r="F106" s="39"/>
      <c r="G106" s="39">
        <f>'FY22'!S100</f>
        <v>0</v>
      </c>
      <c r="H106" s="39"/>
      <c r="I106" s="39">
        <f>'FY23'!S100</f>
        <v>0</v>
      </c>
      <c r="J106" s="39"/>
      <c r="K106" s="39">
        <f>'FY24'!S100</f>
        <v>0</v>
      </c>
      <c r="L106" s="39"/>
      <c r="M106" s="39">
        <f>'FY25'!S100</f>
        <v>0</v>
      </c>
    </row>
    <row r="107" spans="2:13" s="37" customFormat="1" ht="12" x14ac:dyDescent="0.2">
      <c r="B107" s="86"/>
      <c r="C107" s="199">
        <v>6651</v>
      </c>
      <c r="D107" s="37" t="s">
        <v>39</v>
      </c>
      <c r="E107" s="39">
        <f>'FY21'!S101</f>
        <v>45103</v>
      </c>
      <c r="F107" s="39"/>
      <c r="G107" s="39">
        <f>'FY22'!S101</f>
        <v>46005.060000000005</v>
      </c>
      <c r="H107" s="39"/>
      <c r="I107" s="39">
        <f>'FY23'!S101</f>
        <v>46925.161200000002</v>
      </c>
      <c r="J107" s="39"/>
      <c r="K107" s="39">
        <f>'FY24'!S101</f>
        <v>47863.664423999988</v>
      </c>
      <c r="L107" s="39"/>
      <c r="M107" s="39">
        <f>'FY25'!S101</f>
        <v>48820.937712480008</v>
      </c>
    </row>
    <row r="108" spans="2:13" s="37" customFormat="1" ht="12" x14ac:dyDescent="0.2">
      <c r="B108" s="86"/>
      <c r="C108" s="199">
        <v>6652</v>
      </c>
      <c r="D108" s="37" t="s">
        <v>40</v>
      </c>
      <c r="E108" s="39">
        <f>'FY21'!S102</f>
        <v>0</v>
      </c>
      <c r="F108" s="39"/>
      <c r="G108" s="39">
        <f>'FY22'!S102</f>
        <v>0</v>
      </c>
      <c r="H108" s="39"/>
      <c r="I108" s="39">
        <f>'FY23'!S102</f>
        <v>0</v>
      </c>
      <c r="J108" s="39"/>
      <c r="K108" s="39">
        <f>'FY24'!S102</f>
        <v>0</v>
      </c>
      <c r="L108" s="39"/>
      <c r="M108" s="39">
        <f>'FY25'!S102</f>
        <v>0</v>
      </c>
    </row>
    <row r="109" spans="2:13" s="37" customFormat="1" ht="12" x14ac:dyDescent="0.2">
      <c r="B109" s="86"/>
      <c r="C109" s="38"/>
      <c r="E109" s="50">
        <f>SUBTOTAL(9,E102:E108)</f>
        <v>59733</v>
      </c>
      <c r="F109" s="39"/>
      <c r="G109" s="50">
        <f>SUBTOTAL(9,G102:G108)</f>
        <v>60927.66</v>
      </c>
      <c r="H109" s="39"/>
      <c r="I109" s="50">
        <f>SUBTOTAL(9,I102:I108)</f>
        <v>62146.213199999998</v>
      </c>
      <c r="J109" s="39"/>
      <c r="K109" s="50">
        <f>SUBTOTAL(9,K102:K108)</f>
        <v>63389.137463999992</v>
      </c>
      <c r="L109" s="39"/>
      <c r="M109" s="50">
        <f>SUBTOTAL(9,M102:M108)</f>
        <v>64656.920213280013</v>
      </c>
    </row>
    <row r="110" spans="2:13" s="37" customFormat="1" ht="12" x14ac:dyDescent="0.2">
      <c r="B110" s="86"/>
      <c r="C110" s="49" t="s">
        <v>103</v>
      </c>
      <c r="E110" s="39"/>
      <c r="F110" s="39"/>
      <c r="G110" s="39"/>
      <c r="H110" s="39"/>
      <c r="I110" s="39"/>
      <c r="J110" s="39"/>
      <c r="K110" s="39"/>
      <c r="L110" s="39"/>
      <c r="M110" s="39"/>
    </row>
    <row r="111" spans="2:13" s="37" customFormat="1" ht="12" x14ac:dyDescent="0.2">
      <c r="B111" s="86"/>
      <c r="C111" s="199">
        <v>6734</v>
      </c>
      <c r="D111" s="37" t="s">
        <v>41</v>
      </c>
      <c r="E111" s="39">
        <f>'FY21'!S105</f>
        <v>0</v>
      </c>
      <c r="F111" s="39"/>
      <c r="G111" s="39">
        <f>'FY22'!S105</f>
        <v>0</v>
      </c>
      <c r="H111" s="39"/>
      <c r="I111" s="39">
        <f>'FY23'!S105</f>
        <v>0</v>
      </c>
      <c r="J111" s="39"/>
      <c r="K111" s="39">
        <f>'FY24'!S105</f>
        <v>0</v>
      </c>
      <c r="L111" s="39"/>
      <c r="M111" s="39">
        <f>'FY25'!S105</f>
        <v>0</v>
      </c>
    </row>
    <row r="112" spans="2:13" s="37" customFormat="1" ht="12" x14ac:dyDescent="0.2">
      <c r="B112" s="86"/>
      <c r="C112" s="38"/>
      <c r="E112" s="50">
        <f>SUBTOTAL(9,E111)</f>
        <v>0</v>
      </c>
      <c r="F112" s="39"/>
      <c r="G112" s="50">
        <f>SUBTOTAL(9,G111)</f>
        <v>0</v>
      </c>
      <c r="H112" s="39"/>
      <c r="I112" s="50">
        <f>SUBTOTAL(9,I111)</f>
        <v>0</v>
      </c>
      <c r="J112" s="39"/>
      <c r="K112" s="50">
        <f>SUBTOTAL(9,K111)</f>
        <v>0</v>
      </c>
      <c r="L112" s="39"/>
      <c r="M112" s="50">
        <f>SUBTOTAL(9,M111)</f>
        <v>0</v>
      </c>
    </row>
    <row r="113" spans="2:16" s="37" customFormat="1" ht="12" x14ac:dyDescent="0.2">
      <c r="B113" s="86"/>
      <c r="C113" s="49" t="s">
        <v>104</v>
      </c>
      <c r="E113" s="39"/>
      <c r="F113" s="39"/>
      <c r="G113" s="39"/>
      <c r="H113" s="39"/>
      <c r="I113" s="39"/>
      <c r="J113" s="39"/>
      <c r="K113" s="39"/>
      <c r="L113" s="39"/>
      <c r="M113" s="39"/>
    </row>
    <row r="114" spans="2:16" s="37" customFormat="1" ht="12" x14ac:dyDescent="0.2">
      <c r="B114" s="86"/>
      <c r="C114" s="199">
        <v>6810</v>
      </c>
      <c r="D114" s="37" t="s">
        <v>42</v>
      </c>
      <c r="E114" s="39">
        <f>'FY21'!S108</f>
        <v>17043</v>
      </c>
      <c r="F114" s="39"/>
      <c r="G114" s="39">
        <f>'FY22'!S108</f>
        <v>17383.86</v>
      </c>
      <c r="H114" s="39"/>
      <c r="I114" s="39">
        <f>'FY23'!S108</f>
        <v>17731.537200000002</v>
      </c>
      <c r="J114" s="39"/>
      <c r="K114" s="39">
        <f>'FY24'!S108</f>
        <v>18086.167943999993</v>
      </c>
      <c r="L114" s="39"/>
      <c r="M114" s="39">
        <f>'FY25'!S108</f>
        <v>18447.891302880005</v>
      </c>
    </row>
    <row r="115" spans="2:16" s="37" customFormat="1" ht="12" x14ac:dyDescent="0.2">
      <c r="B115" s="86"/>
      <c r="C115" s="38"/>
      <c r="E115" s="50">
        <f>SUBTOTAL(9,E114)</f>
        <v>17043</v>
      </c>
      <c r="F115" s="39"/>
      <c r="G115" s="50">
        <f>SUBTOTAL(9,G114)</f>
        <v>17383.86</v>
      </c>
      <c r="H115" s="39"/>
      <c r="I115" s="50">
        <f>SUBTOTAL(9,I114)</f>
        <v>17731.537200000002</v>
      </c>
      <c r="J115" s="39"/>
      <c r="K115" s="50">
        <f>SUBTOTAL(9,K114)</f>
        <v>18086.167943999993</v>
      </c>
      <c r="L115" s="39"/>
      <c r="M115" s="50">
        <f>SUBTOTAL(9,M114)</f>
        <v>18447.891302880005</v>
      </c>
    </row>
    <row r="116" spans="2:16" s="45" customFormat="1" ht="12" x14ac:dyDescent="0.2">
      <c r="B116" s="87"/>
      <c r="C116" s="49" t="s">
        <v>43</v>
      </c>
      <c r="E116" s="48"/>
      <c r="F116" s="40"/>
      <c r="G116" s="48"/>
      <c r="H116" s="40"/>
      <c r="I116" s="48"/>
      <c r="J116" s="40"/>
      <c r="K116" s="48"/>
      <c r="L116" s="40"/>
      <c r="M116" s="48"/>
    </row>
    <row r="117" spans="2:16" s="37" customFormat="1" ht="12" x14ac:dyDescent="0.2">
      <c r="B117" s="86"/>
      <c r="C117" s="199">
        <v>7306</v>
      </c>
      <c r="D117" s="37" t="s">
        <v>43</v>
      </c>
      <c r="E117" s="39">
        <f>'FY21'!S111</f>
        <v>0</v>
      </c>
      <c r="F117" s="39"/>
      <c r="G117" s="39">
        <f>'FY22'!S111</f>
        <v>0</v>
      </c>
      <c r="H117" s="39"/>
      <c r="I117" s="39">
        <f>'FY23'!S111</f>
        <v>0</v>
      </c>
      <c r="J117" s="39"/>
      <c r="K117" s="39">
        <f>'FY24'!S111</f>
        <v>0</v>
      </c>
      <c r="L117" s="39"/>
      <c r="M117" s="39">
        <f>'FY25'!S111</f>
        <v>0</v>
      </c>
    </row>
    <row r="118" spans="2:16" s="37" customFormat="1" ht="12" x14ac:dyDescent="0.2">
      <c r="B118" s="86"/>
      <c r="C118" s="38">
        <v>7901</v>
      </c>
      <c r="D118" s="37" t="s">
        <v>177</v>
      </c>
      <c r="E118" s="39">
        <f>'FY21'!S112</f>
        <v>0</v>
      </c>
      <c r="F118" s="39"/>
      <c r="G118" s="39">
        <f>'FY22'!S112</f>
        <v>0</v>
      </c>
      <c r="H118" s="39"/>
      <c r="I118" s="39">
        <f>'FY23'!S112</f>
        <v>0</v>
      </c>
      <c r="J118" s="39"/>
      <c r="K118" s="39">
        <f>'FY24'!S112</f>
        <v>0</v>
      </c>
      <c r="L118" s="39"/>
      <c r="M118" s="39">
        <f>'FY25'!S112</f>
        <v>0</v>
      </c>
    </row>
    <row r="119" spans="2:16" s="37" customFormat="1" ht="12" x14ac:dyDescent="0.2">
      <c r="B119" s="86"/>
      <c r="C119" s="38"/>
      <c r="E119" s="50">
        <f>SUBTOTAL(9,E117:E118)</f>
        <v>0</v>
      </c>
      <c r="F119" s="39"/>
      <c r="G119" s="50">
        <f>SUBTOTAL(9,G117:G118)</f>
        <v>0</v>
      </c>
      <c r="H119" s="39"/>
      <c r="I119" s="50">
        <f>SUBTOTAL(9,I117:I118)</f>
        <v>0</v>
      </c>
      <c r="J119" s="39"/>
      <c r="K119" s="50">
        <f>SUBTOTAL(9,K117:K118)</f>
        <v>0</v>
      </c>
      <c r="L119" s="39"/>
      <c r="M119" s="50">
        <f>SUBTOTAL(9,M117:M118)</f>
        <v>0</v>
      </c>
    </row>
    <row r="120" spans="2:16" s="37" customFormat="1" ht="9" customHeight="1" x14ac:dyDescent="0.2">
      <c r="B120" s="86"/>
      <c r="C120" s="38"/>
      <c r="E120" s="39"/>
      <c r="F120" s="39"/>
      <c r="G120" s="39"/>
      <c r="H120" s="39"/>
      <c r="I120" s="39"/>
      <c r="J120" s="39"/>
      <c r="K120" s="39"/>
      <c r="L120" s="39"/>
      <c r="M120" s="39"/>
    </row>
    <row r="121" spans="2:16" s="45" customFormat="1" ht="12" x14ac:dyDescent="0.2">
      <c r="B121" s="45" t="s">
        <v>107</v>
      </c>
      <c r="C121" s="46"/>
      <c r="E121" s="43">
        <f>SUBTOTAL(9,E36:E120)</f>
        <v>2176672.9955805</v>
      </c>
      <c r="F121" s="40"/>
      <c r="G121" s="43">
        <f>SUBTOTAL(9,G36:G120)</f>
        <v>2294870.4554921105</v>
      </c>
      <c r="H121" s="40"/>
      <c r="I121" s="43">
        <f>SUBTOTAL(9,I36:I120)</f>
        <v>2340767.864601953</v>
      </c>
      <c r="J121" s="40"/>
      <c r="K121" s="43">
        <f>SUBTOTAL(9,K36:K120)</f>
        <v>2387583.2218939913</v>
      </c>
      <c r="L121" s="40"/>
      <c r="M121" s="43">
        <f>SUBTOTAL(9,M36:M120)</f>
        <v>2435334.8863318707</v>
      </c>
    </row>
    <row r="122" spans="2:16" s="37" customFormat="1" ht="12" x14ac:dyDescent="0.2">
      <c r="C122" s="38"/>
      <c r="E122" s="39"/>
      <c r="F122" s="39"/>
      <c r="G122" s="39"/>
      <c r="H122" s="39"/>
      <c r="I122" s="39"/>
      <c r="J122" s="39"/>
      <c r="K122" s="39"/>
      <c r="L122" s="39"/>
      <c r="M122" s="39"/>
    </row>
    <row r="123" spans="2:16" s="45" customFormat="1" ht="12.75" thickBot="1" x14ac:dyDescent="0.25">
      <c r="B123" s="45" t="s">
        <v>108</v>
      </c>
      <c r="C123" s="46"/>
      <c r="E123" s="181">
        <f>E33-E121</f>
        <v>18558.239619500004</v>
      </c>
      <c r="F123" s="182"/>
      <c r="G123" s="181">
        <f>G33-G121</f>
        <v>86955.434699889738</v>
      </c>
      <c r="H123" s="182"/>
      <c r="I123" s="181">
        <f>I33-I121</f>
        <v>231400.92578124767</v>
      </c>
      <c r="J123" s="182"/>
      <c r="K123" s="181">
        <f>K33-K121</f>
        <v>342738.38235628046</v>
      </c>
      <c r="L123" s="182"/>
      <c r="M123" s="181">
        <f>M33-M121</f>
        <v>451452.820117631</v>
      </c>
    </row>
    <row r="124" spans="2:16" s="37" customFormat="1" ht="12.75" thickTop="1" x14ac:dyDescent="0.2">
      <c r="C124" s="38"/>
      <c r="E124" s="39"/>
      <c r="F124" s="39"/>
      <c r="G124" s="39"/>
      <c r="H124" s="39"/>
      <c r="I124" s="39"/>
      <c r="J124" s="39"/>
      <c r="K124" s="39"/>
      <c r="L124" s="39"/>
      <c r="M124" s="39"/>
    </row>
    <row r="125" spans="2:16" s="156" customFormat="1" ht="12.75" x14ac:dyDescent="0.2">
      <c r="D125" s="157" t="s">
        <v>154</v>
      </c>
      <c r="E125" s="655">
        <f>Budget!E34</f>
        <v>977399.75319999992</v>
      </c>
      <c r="F125" s="158"/>
      <c r="G125" s="183">
        <f>E126</f>
        <v>774957.99281949992</v>
      </c>
      <c r="H125" s="158"/>
      <c r="I125" s="183">
        <f>G126</f>
        <v>981913.42751938966</v>
      </c>
      <c r="J125" s="158"/>
      <c r="K125" s="183">
        <f>I126</f>
        <v>1309314.3533006373</v>
      </c>
      <c r="L125" s="158"/>
      <c r="M125" s="184">
        <f>K126</f>
        <v>1784052.7356569178</v>
      </c>
    </row>
    <row r="126" spans="2:16" s="159" customFormat="1" ht="13.5" thickBot="1" x14ac:dyDescent="0.25">
      <c r="D126" s="160" t="s">
        <v>155</v>
      </c>
      <c r="E126" s="161">
        <f>E125+E123+E128</f>
        <v>774957.99281949992</v>
      </c>
      <c r="F126" s="169"/>
      <c r="G126" s="161">
        <f>G125+G123+G128</f>
        <v>981913.42751938966</v>
      </c>
      <c r="H126" s="170"/>
      <c r="I126" s="161">
        <f>I125+I123+I128</f>
        <v>1309314.3533006373</v>
      </c>
      <c r="J126" s="169"/>
      <c r="K126" s="161">
        <f>K125+K123+K128</f>
        <v>1784052.7356569178</v>
      </c>
      <c r="L126" s="169"/>
      <c r="M126" s="161">
        <f>M125+M123+M128</f>
        <v>2283505.555774549</v>
      </c>
    </row>
    <row r="127" spans="2:16" s="15" customFormat="1" ht="15.75" thickTop="1" x14ac:dyDescent="0.25">
      <c r="D127" s="162"/>
      <c r="E127" s="163">
        <f>E126/E121</f>
        <v>0.35602867054121984</v>
      </c>
      <c r="F127" s="164"/>
      <c r="G127" s="163">
        <f>G126/G121</f>
        <v>0.42787313992799164</v>
      </c>
      <c r="H127" s="165"/>
      <c r="I127" s="163">
        <f>I126/I121</f>
        <v>0.55935249842610346</v>
      </c>
      <c r="J127" s="164"/>
      <c r="K127" s="163">
        <f>K126/K121</f>
        <v>0.74722117298248036</v>
      </c>
      <c r="L127" s="164"/>
      <c r="M127" s="166">
        <f>M126/M121</f>
        <v>0.9376556664098018</v>
      </c>
    </row>
    <row r="128" spans="2:16" s="15" customFormat="1" ht="12" customHeight="1" x14ac:dyDescent="0.25">
      <c r="B128" s="54"/>
      <c r="C128" s="54"/>
      <c r="D128" s="699" t="s">
        <v>827</v>
      </c>
      <c r="E128" s="700">
        <f>'Rev &amp; Enroll'!F83</f>
        <v>-221000</v>
      </c>
      <c r="F128" s="701"/>
      <c r="G128" s="700">
        <f>'Rev &amp; Enroll'!H83</f>
        <v>120000</v>
      </c>
      <c r="H128" s="701"/>
      <c r="I128" s="700">
        <f>'Rev &amp; Enroll'!J83</f>
        <v>96000</v>
      </c>
      <c r="J128" s="701"/>
      <c r="K128" s="700">
        <f>'Rev &amp; Enroll'!L83</f>
        <v>132000</v>
      </c>
      <c r="L128" s="701"/>
      <c r="M128" s="700">
        <f>'Rev &amp; Enroll'!N83</f>
        <v>48000</v>
      </c>
      <c r="N128" s="167"/>
      <c r="O128" s="54"/>
      <c r="P128" s="167"/>
    </row>
    <row r="129" spans="1:16" s="15" customFormat="1" x14ac:dyDescent="0.25">
      <c r="B129" s="54"/>
      <c r="C129" s="54"/>
      <c r="D129" s="54"/>
      <c r="E129" s="54"/>
      <c r="F129" s="167"/>
      <c r="G129" s="54"/>
      <c r="H129" s="167"/>
      <c r="I129" s="54"/>
      <c r="J129" s="167"/>
      <c r="K129" s="168"/>
      <c r="L129" s="167"/>
      <c r="M129" s="54"/>
      <c r="N129" s="167"/>
      <c r="O129" s="54"/>
      <c r="P129" s="167"/>
    </row>
    <row r="130" spans="1:16" s="37" customFormat="1" ht="12" x14ac:dyDescent="0.2">
      <c r="B130" s="53" t="s">
        <v>109</v>
      </c>
      <c r="C130" s="54"/>
      <c r="D130" s="54"/>
      <c r="E130" s="39"/>
      <c r="F130" s="39"/>
      <c r="G130" s="39"/>
      <c r="H130" s="39"/>
      <c r="I130" s="39"/>
      <c r="J130" s="39"/>
      <c r="K130" s="39"/>
      <c r="L130" s="39"/>
      <c r="M130" s="39"/>
    </row>
    <row r="131" spans="1:16" s="37" customFormat="1" ht="12" x14ac:dyDescent="0.2">
      <c r="B131" s="53"/>
      <c r="C131" s="54" t="s">
        <v>110</v>
      </c>
      <c r="D131" s="54"/>
      <c r="E131" s="39">
        <f>E123</f>
        <v>18558.239619500004</v>
      </c>
      <c r="F131" s="39"/>
      <c r="G131" s="39">
        <f>G123</f>
        <v>86955.434699889738</v>
      </c>
      <c r="H131" s="39"/>
      <c r="I131" s="39">
        <f>I123</f>
        <v>231400.92578124767</v>
      </c>
      <c r="J131" s="39"/>
      <c r="K131" s="39">
        <f>K123</f>
        <v>342738.38235628046</v>
      </c>
      <c r="L131" s="39"/>
      <c r="M131" s="39">
        <f>M123</f>
        <v>451452.820117631</v>
      </c>
    </row>
    <row r="132" spans="1:16" s="37" customFormat="1" ht="12" x14ac:dyDescent="0.2">
      <c r="B132" s="54"/>
      <c r="C132" s="54" t="s">
        <v>112</v>
      </c>
      <c r="D132" s="54"/>
      <c r="E132" s="39"/>
      <c r="F132" s="39"/>
      <c r="G132" s="39"/>
      <c r="H132" s="39"/>
      <c r="I132" s="39"/>
      <c r="J132" s="39"/>
      <c r="K132" s="39"/>
      <c r="L132" s="39"/>
      <c r="M132" s="39"/>
    </row>
    <row r="133" spans="1:16" s="37" customFormat="1" ht="12" x14ac:dyDescent="0.2">
      <c r="B133" s="85"/>
      <c r="C133" s="54"/>
      <c r="D133" s="55" t="s">
        <v>113</v>
      </c>
      <c r="E133" s="39">
        <f>'FY21'!S122</f>
        <v>0</v>
      </c>
      <c r="F133" s="39"/>
      <c r="G133" s="39">
        <f>'FY22'!S122</f>
        <v>0</v>
      </c>
      <c r="H133" s="39"/>
      <c r="I133" s="39">
        <f>'FY23'!S122</f>
        <v>0</v>
      </c>
      <c r="J133" s="39"/>
      <c r="K133" s="39">
        <f>'FY24'!S122</f>
        <v>0</v>
      </c>
      <c r="L133" s="39"/>
      <c r="M133" s="39">
        <f>'FY25'!S122</f>
        <v>0</v>
      </c>
    </row>
    <row r="134" spans="1:16" s="37" customFormat="1" ht="12" x14ac:dyDescent="0.2">
      <c r="B134" s="85"/>
      <c r="C134" s="54"/>
      <c r="D134" s="55" t="s">
        <v>114</v>
      </c>
      <c r="E134" s="39">
        <f>'FY21'!S123</f>
        <v>0</v>
      </c>
      <c r="F134" s="39"/>
      <c r="G134" s="39">
        <f>'FY22'!S123</f>
        <v>0</v>
      </c>
      <c r="H134" s="39"/>
      <c r="I134" s="39">
        <f>'FY23'!S123</f>
        <v>0</v>
      </c>
      <c r="J134" s="39"/>
      <c r="K134" s="39">
        <f>'FY24'!S123</f>
        <v>0</v>
      </c>
      <c r="L134" s="39"/>
      <c r="M134" s="39">
        <f>'FY25'!S123</f>
        <v>0</v>
      </c>
    </row>
    <row r="135" spans="1:16" s="37" customFormat="1" ht="12" x14ac:dyDescent="0.2">
      <c r="B135" s="85"/>
      <c r="C135" s="54"/>
      <c r="D135" s="55" t="s">
        <v>115</v>
      </c>
      <c r="E135" s="39">
        <f>'FY21'!S124</f>
        <v>0</v>
      </c>
      <c r="F135" s="39"/>
      <c r="G135" s="39">
        <f>'FY22'!S124</f>
        <v>0</v>
      </c>
      <c r="H135" s="39"/>
      <c r="I135" s="39">
        <f>'FY23'!S124</f>
        <v>0</v>
      </c>
      <c r="J135" s="39"/>
      <c r="K135" s="39">
        <f>'FY24'!S124</f>
        <v>0</v>
      </c>
      <c r="L135" s="39"/>
      <c r="M135" s="39">
        <f>'FY25'!S124</f>
        <v>0</v>
      </c>
    </row>
    <row r="136" spans="1:16" s="37" customFormat="1" ht="12" x14ac:dyDescent="0.2">
      <c r="B136" s="85"/>
      <c r="C136" s="54"/>
      <c r="D136" s="55" t="s">
        <v>116</v>
      </c>
      <c r="E136" s="39">
        <f>'FY21'!S125</f>
        <v>0</v>
      </c>
      <c r="F136" s="39"/>
      <c r="G136" s="39">
        <f>'FY22'!S125</f>
        <v>0</v>
      </c>
      <c r="H136" s="39"/>
      <c r="I136" s="39">
        <f>'FY23'!S125</f>
        <v>0</v>
      </c>
      <c r="J136" s="39"/>
      <c r="K136" s="39">
        <f>'FY24'!S125</f>
        <v>0</v>
      </c>
      <c r="L136" s="39"/>
      <c r="M136" s="39">
        <f>'FY25'!S125</f>
        <v>0</v>
      </c>
    </row>
    <row r="137" spans="1:16" s="37" customFormat="1" ht="12" x14ac:dyDescent="0.2">
      <c r="B137" s="85"/>
      <c r="C137" s="54"/>
      <c r="D137" s="55" t="s">
        <v>117</v>
      </c>
      <c r="E137" s="39">
        <f>'FY21'!S126</f>
        <v>0</v>
      </c>
      <c r="F137" s="39"/>
      <c r="G137" s="39">
        <f>'FY22'!S126</f>
        <v>0</v>
      </c>
      <c r="H137" s="39"/>
      <c r="I137" s="39">
        <f>'FY23'!S126</f>
        <v>0</v>
      </c>
      <c r="J137" s="39"/>
      <c r="K137" s="39">
        <f>'FY24'!S126</f>
        <v>0</v>
      </c>
      <c r="L137" s="39"/>
      <c r="M137" s="39">
        <f>'FY25'!S126</f>
        <v>0</v>
      </c>
    </row>
    <row r="138" spans="1:16" s="37" customFormat="1" ht="12" x14ac:dyDescent="0.2">
      <c r="B138" s="85"/>
      <c r="C138" s="54"/>
      <c r="D138" s="55" t="s">
        <v>118</v>
      </c>
      <c r="E138" s="39">
        <f>'FY21'!S127</f>
        <v>0</v>
      </c>
      <c r="F138" s="39"/>
      <c r="G138" s="39">
        <f>'FY22'!S127</f>
        <v>0</v>
      </c>
      <c r="H138" s="39"/>
      <c r="I138" s="39">
        <f>'FY23'!S127</f>
        <v>0</v>
      </c>
      <c r="J138" s="39"/>
      <c r="K138" s="39">
        <f>'FY24'!S127</f>
        <v>0</v>
      </c>
      <c r="L138" s="39"/>
      <c r="M138" s="39">
        <f>'FY25'!S127</f>
        <v>0</v>
      </c>
    </row>
    <row r="139" spans="1:16" s="37" customFormat="1" ht="12" x14ac:dyDescent="0.2">
      <c r="B139" s="85"/>
      <c r="C139" s="54"/>
      <c r="D139" s="55" t="s">
        <v>119</v>
      </c>
      <c r="E139" s="39">
        <f>'FY21'!S128</f>
        <v>0</v>
      </c>
      <c r="F139" s="39"/>
      <c r="G139" s="39">
        <f>'FY22'!S128</f>
        <v>0</v>
      </c>
      <c r="H139" s="39"/>
      <c r="I139" s="39">
        <f>'FY23'!S128</f>
        <v>0</v>
      </c>
      <c r="J139" s="39"/>
      <c r="K139" s="39">
        <f>'FY24'!S128</f>
        <v>0</v>
      </c>
      <c r="L139" s="39"/>
      <c r="M139" s="39">
        <f>'FY25'!S128</f>
        <v>0</v>
      </c>
    </row>
    <row r="140" spans="1:16" s="37" customFormat="1" ht="12" x14ac:dyDescent="0.2">
      <c r="B140" s="85"/>
      <c r="C140" s="54"/>
      <c r="D140" s="55" t="s">
        <v>120</v>
      </c>
      <c r="E140" s="39">
        <f>'FY21'!S129</f>
        <v>0</v>
      </c>
      <c r="F140" s="39"/>
      <c r="G140" s="39">
        <f>'FY22'!S129</f>
        <v>0</v>
      </c>
      <c r="H140" s="39"/>
      <c r="I140" s="39">
        <f>'FY23'!S129</f>
        <v>0</v>
      </c>
      <c r="J140" s="39"/>
      <c r="K140" s="39">
        <f>'FY24'!S129</f>
        <v>0</v>
      </c>
      <c r="L140" s="39"/>
      <c r="M140" s="39">
        <f>'FY25'!S129</f>
        <v>0</v>
      </c>
    </row>
    <row r="141" spans="1:16" s="37" customFormat="1" ht="12" x14ac:dyDescent="0.2">
      <c r="A141" s="54"/>
      <c r="B141" s="85" t="s">
        <v>111</v>
      </c>
      <c r="C141" s="54"/>
      <c r="D141" s="55" t="s">
        <v>121</v>
      </c>
      <c r="E141" s="39">
        <f>'FY21'!S130</f>
        <v>0</v>
      </c>
      <c r="F141" s="39"/>
      <c r="G141" s="39">
        <f>'FY22'!S130</f>
        <v>0</v>
      </c>
      <c r="H141" s="39"/>
      <c r="I141" s="39">
        <f>'FY23'!S130</f>
        <v>0</v>
      </c>
      <c r="J141" s="39"/>
      <c r="K141" s="39">
        <f>'FY24'!S130</f>
        <v>0</v>
      </c>
      <c r="L141" s="39"/>
      <c r="M141" s="39">
        <f>'FY25'!S130</f>
        <v>0</v>
      </c>
    </row>
    <row r="142" spans="1:16" s="37" customFormat="1" ht="12" x14ac:dyDescent="0.2">
      <c r="A142" s="54"/>
      <c r="B142" s="85" t="s">
        <v>111</v>
      </c>
      <c r="C142" s="54" t="s">
        <v>122</v>
      </c>
      <c r="D142" s="55"/>
      <c r="E142" s="39"/>
      <c r="F142" s="39"/>
      <c r="G142" s="39"/>
      <c r="H142" s="39"/>
      <c r="I142" s="39"/>
      <c r="J142" s="39"/>
      <c r="K142" s="39"/>
      <c r="L142" s="39"/>
      <c r="M142" s="39"/>
    </row>
    <row r="143" spans="1:16" s="37" customFormat="1" ht="12" x14ac:dyDescent="0.2">
      <c r="A143" s="54"/>
      <c r="B143" s="85" t="s">
        <v>111</v>
      </c>
      <c r="C143" s="54"/>
      <c r="D143" s="55" t="s">
        <v>123</v>
      </c>
      <c r="E143" s="39">
        <f>'FY21'!S132</f>
        <v>0</v>
      </c>
      <c r="F143" s="39"/>
      <c r="G143" s="39">
        <f>'FY22'!S132</f>
        <v>0</v>
      </c>
      <c r="H143" s="39"/>
      <c r="I143" s="39">
        <f>'FY23'!S132</f>
        <v>0</v>
      </c>
      <c r="J143" s="39"/>
      <c r="K143" s="39">
        <f>'FY24'!S132</f>
        <v>0</v>
      </c>
      <c r="L143" s="39"/>
      <c r="M143" s="39">
        <f>'FY25'!S132</f>
        <v>0</v>
      </c>
    </row>
    <row r="144" spans="1:16" s="37" customFormat="1" ht="12" x14ac:dyDescent="0.2">
      <c r="A144" s="54"/>
      <c r="B144" s="85"/>
      <c r="C144" s="54"/>
      <c r="D144" s="54" t="s">
        <v>124</v>
      </c>
      <c r="E144" s="39">
        <f>'FY21'!S133</f>
        <v>0</v>
      </c>
      <c r="F144" s="39"/>
      <c r="G144" s="39">
        <f>'FY22'!S133</f>
        <v>0</v>
      </c>
      <c r="H144" s="39"/>
      <c r="I144" s="39">
        <f>'FY23'!S133</f>
        <v>0</v>
      </c>
      <c r="J144" s="39"/>
      <c r="K144" s="39">
        <f>'FY24'!S133</f>
        <v>0</v>
      </c>
      <c r="L144" s="39"/>
      <c r="M144" s="39">
        <f>'FY25'!S133</f>
        <v>0</v>
      </c>
    </row>
    <row r="145" spans="1:13" s="37" customFormat="1" ht="12" x14ac:dyDescent="0.2">
      <c r="A145" s="54"/>
      <c r="B145" s="85"/>
      <c r="C145" s="54" t="s">
        <v>125</v>
      </c>
      <c r="D145" s="54"/>
      <c r="E145" s="39"/>
      <c r="F145" s="39"/>
      <c r="G145" s="39"/>
      <c r="H145" s="39"/>
      <c r="I145" s="39"/>
      <c r="J145" s="39"/>
      <c r="K145" s="39"/>
      <c r="L145" s="39"/>
      <c r="M145" s="39"/>
    </row>
    <row r="146" spans="1:13" s="37" customFormat="1" ht="12" x14ac:dyDescent="0.2">
      <c r="A146" s="54"/>
      <c r="B146" s="85"/>
      <c r="C146" s="54"/>
      <c r="D146" s="54" t="s">
        <v>129</v>
      </c>
      <c r="E146" s="39">
        <f>'FY21'!S135</f>
        <v>0</v>
      </c>
      <c r="F146" s="39"/>
      <c r="G146" s="39">
        <f>'FY22'!S135</f>
        <v>0</v>
      </c>
      <c r="H146" s="39"/>
      <c r="I146" s="39">
        <f>'FY23'!S135</f>
        <v>0</v>
      </c>
      <c r="J146" s="39"/>
      <c r="K146" s="39">
        <f>'FY24'!S135</f>
        <v>0</v>
      </c>
      <c r="L146" s="39"/>
      <c r="M146" s="39">
        <f>'FY25'!S135</f>
        <v>0</v>
      </c>
    </row>
    <row r="147" spans="1:13" s="37" customFormat="1" ht="12" x14ac:dyDescent="0.2">
      <c r="A147" s="54"/>
      <c r="B147" s="85"/>
      <c r="C147" s="54"/>
      <c r="D147" s="54" t="s">
        <v>130</v>
      </c>
      <c r="E147" s="42">
        <f>'FY21'!S136</f>
        <v>0</v>
      </c>
      <c r="F147" s="39"/>
      <c r="G147" s="42">
        <f>'FY22'!S136</f>
        <v>0</v>
      </c>
      <c r="H147" s="39"/>
      <c r="I147" s="42">
        <f>'FY23'!S136</f>
        <v>0</v>
      </c>
      <c r="J147" s="39"/>
      <c r="K147" s="42">
        <f>'FY24'!S136</f>
        <v>0</v>
      </c>
      <c r="L147" s="39"/>
      <c r="M147" s="42">
        <f>'FY25'!S136</f>
        <v>0</v>
      </c>
    </row>
    <row r="148" spans="1:13" s="37" customFormat="1" ht="12" x14ac:dyDescent="0.2">
      <c r="A148" s="54"/>
      <c r="B148" s="85"/>
      <c r="C148" s="54"/>
      <c r="D148" s="54"/>
      <c r="E148" s="39"/>
      <c r="F148" s="39"/>
      <c r="G148" s="39"/>
      <c r="H148" s="39"/>
      <c r="I148" s="39"/>
      <c r="J148" s="39"/>
      <c r="K148" s="39"/>
      <c r="L148" s="39"/>
      <c r="M148" s="39"/>
    </row>
    <row r="149" spans="1:13" s="37" customFormat="1" ht="12" x14ac:dyDescent="0.2">
      <c r="A149" s="54"/>
      <c r="B149" s="54" t="s">
        <v>126</v>
      </c>
      <c r="C149" s="54"/>
      <c r="D149" s="54"/>
      <c r="E149" s="39">
        <f>SUM(E131:E147)</f>
        <v>18558.239619500004</v>
      </c>
      <c r="F149" s="39"/>
      <c r="G149" s="39">
        <f>SUM(G131:G147)</f>
        <v>86955.434699889738</v>
      </c>
      <c r="H149" s="39"/>
      <c r="I149" s="39">
        <f>SUM(I131:I147)</f>
        <v>231400.92578124767</v>
      </c>
      <c r="J149" s="39"/>
      <c r="K149" s="39">
        <f>SUM(K131:K147)</f>
        <v>342738.38235628046</v>
      </c>
      <c r="L149" s="39"/>
      <c r="M149" s="39">
        <f>SUM(M131:M147)</f>
        <v>451452.820117631</v>
      </c>
    </row>
    <row r="150" spans="1:13" s="37" customFormat="1" ht="12" x14ac:dyDescent="0.2">
      <c r="A150" s="54"/>
      <c r="B150" s="54" t="s">
        <v>127</v>
      </c>
      <c r="C150" s="54"/>
      <c r="D150" s="54"/>
      <c r="E150" s="42">
        <f>'FY21'!E139</f>
        <v>0</v>
      </c>
      <c r="F150" s="39"/>
      <c r="G150" s="42">
        <f>E152</f>
        <v>18558.239619500004</v>
      </c>
      <c r="H150" s="39"/>
      <c r="I150" s="42">
        <f>G152</f>
        <v>105513.67431938974</v>
      </c>
      <c r="J150" s="39"/>
      <c r="K150" s="42">
        <f>I152</f>
        <v>336914.60010063741</v>
      </c>
      <c r="L150" s="39"/>
      <c r="M150" s="42">
        <f>K152</f>
        <v>679652.98245691787</v>
      </c>
    </row>
    <row r="151" spans="1:13" s="37" customFormat="1" ht="12" x14ac:dyDescent="0.2">
      <c r="A151" s="54"/>
      <c r="B151" s="54"/>
      <c r="C151" s="54"/>
      <c r="D151" s="54"/>
      <c r="E151" s="39"/>
      <c r="F151" s="39"/>
      <c r="G151" s="39"/>
      <c r="H151" s="39"/>
      <c r="I151" s="39"/>
      <c r="J151" s="39"/>
      <c r="K151" s="39"/>
      <c r="L151" s="39"/>
      <c r="M151" s="39"/>
    </row>
    <row r="152" spans="1:13" s="37" customFormat="1" ht="12.75" thickBot="1" x14ac:dyDescent="0.25">
      <c r="A152" s="53"/>
      <c r="B152" s="53" t="s">
        <v>128</v>
      </c>
      <c r="C152" s="53"/>
      <c r="D152" s="53"/>
      <c r="E152" s="57">
        <f>SUM(E149:E151)</f>
        <v>18558.239619500004</v>
      </c>
      <c r="F152" s="39"/>
      <c r="G152" s="57">
        <f>SUM(G149:G151)</f>
        <v>105513.67431938974</v>
      </c>
      <c r="H152" s="39"/>
      <c r="I152" s="57">
        <f>SUM(I149:I151)</f>
        <v>336914.60010063741</v>
      </c>
      <c r="J152" s="39"/>
      <c r="K152" s="57">
        <f>SUM(K149:K151)</f>
        <v>679652.98245691787</v>
      </c>
      <c r="L152" s="39"/>
      <c r="M152" s="57">
        <f>SUM(M149:M151)</f>
        <v>1131105.8025745489</v>
      </c>
    </row>
    <row r="153" spans="1:13" s="37" customFormat="1" ht="12.75" thickTop="1" x14ac:dyDescent="0.2">
      <c r="B153" s="86"/>
      <c r="C153" s="38"/>
      <c r="E153" s="39"/>
      <c r="F153" s="39"/>
      <c r="G153" s="39"/>
      <c r="H153" s="39"/>
      <c r="I153" s="39"/>
      <c r="J153" s="39"/>
      <c r="K153" s="39"/>
      <c r="L153" s="39"/>
      <c r="M153" s="39"/>
    </row>
    <row r="154" spans="1:13" s="37" customFormat="1" ht="12" x14ac:dyDescent="0.2">
      <c r="B154" s="86"/>
      <c r="C154" s="38"/>
      <c r="E154" s="39"/>
      <c r="F154" s="39"/>
      <c r="G154" s="39"/>
      <c r="H154" s="39"/>
      <c r="I154" s="39"/>
      <c r="J154" s="39"/>
      <c r="K154" s="39"/>
      <c r="L154" s="39"/>
      <c r="M154" s="39"/>
    </row>
    <row r="155" spans="1:13" s="37" customFormat="1" ht="12" x14ac:dyDescent="0.2">
      <c r="B155" s="86"/>
      <c r="C155" s="38"/>
      <c r="D155" s="78" t="s">
        <v>140</v>
      </c>
      <c r="E155" s="77"/>
      <c r="F155" s="39"/>
      <c r="G155" s="77"/>
      <c r="H155" s="39"/>
      <c r="I155" s="77"/>
      <c r="J155" s="39"/>
      <c r="K155" s="77"/>
      <c r="L155" s="39"/>
      <c r="M155" s="77"/>
    </row>
    <row r="156" spans="1:13" s="37" customFormat="1" ht="12" x14ac:dyDescent="0.2">
      <c r="B156" s="86"/>
      <c r="C156" s="38"/>
      <c r="D156" s="76" t="s">
        <v>138</v>
      </c>
      <c r="E156" s="77">
        <f>ROUND(E123-'FY21'!$S$117,0)</f>
        <v>0</v>
      </c>
      <c r="F156" s="39"/>
      <c r="G156" s="77">
        <f>ROUND(G123-'FY22'!$S$117,0)</f>
        <v>0</v>
      </c>
      <c r="H156" s="39"/>
      <c r="I156" s="77">
        <f>ROUND(I123-'FY23'!$S$117,0)</f>
        <v>0</v>
      </c>
      <c r="J156" s="39"/>
      <c r="K156" s="77">
        <f>ROUND(K123-'FY24'!$S$117,0)</f>
        <v>0</v>
      </c>
      <c r="L156" s="39"/>
      <c r="M156" s="77">
        <f>ROUND(M123-'FY25'!$S$117,0)</f>
        <v>0</v>
      </c>
    </row>
    <row r="157" spans="1:13" s="37" customFormat="1" ht="12" x14ac:dyDescent="0.2">
      <c r="B157" s="86"/>
      <c r="C157" s="38"/>
      <c r="D157" s="76" t="s">
        <v>139</v>
      </c>
      <c r="E157" s="77">
        <f>ROUND(E152-'FY21'!$P$141,0)</f>
        <v>0</v>
      </c>
      <c r="F157" s="39"/>
      <c r="G157" s="77">
        <f>ROUND(G152-'FY22'!$P$141,0)</f>
        <v>0</v>
      </c>
      <c r="H157" s="39"/>
      <c r="I157" s="77">
        <f>ROUND(I152-'FY23'!$P$141,0)</f>
        <v>0</v>
      </c>
      <c r="J157" s="39"/>
      <c r="K157" s="77">
        <f>ROUND(K152-'FY24'!$P$141,0)</f>
        <v>0</v>
      </c>
      <c r="L157" s="39"/>
      <c r="M157" s="77">
        <f>ROUND(M152-'FY25'!$P$141,0)</f>
        <v>0</v>
      </c>
    </row>
    <row r="158" spans="1:13" s="37" customFormat="1" ht="12" x14ac:dyDescent="0.2">
      <c r="B158" s="86"/>
      <c r="C158" s="38"/>
      <c r="D158" s="76" t="s">
        <v>242</v>
      </c>
      <c r="E158" s="77">
        <f>E47-Payroll!K116</f>
        <v>9900</v>
      </c>
      <c r="F158" s="39"/>
      <c r="G158" s="77">
        <f>G47-Payroll!Y116</f>
        <v>64922.702999999747</v>
      </c>
      <c r="H158" s="39"/>
      <c r="I158" s="77">
        <f>I47-Payroll!AA116</f>
        <v>66221.157060000114</v>
      </c>
      <c r="J158" s="39"/>
      <c r="K158" s="77">
        <f>K47-Payroll!AC116</f>
        <v>67545.580201199977</v>
      </c>
      <c r="L158" s="39"/>
      <c r="M158" s="77">
        <f>M47-Payroll!AE116</f>
        <v>68896.491805224214</v>
      </c>
    </row>
    <row r="159" spans="1:13" s="37" customFormat="1" ht="12" x14ac:dyDescent="0.2">
      <c r="B159" s="86"/>
      <c r="C159" s="38"/>
      <c r="D159" s="76" t="s">
        <v>243</v>
      </c>
      <c r="E159" s="77">
        <f>E68-Payroll!K164</f>
        <v>-5160.4499999999534</v>
      </c>
      <c r="F159" s="39"/>
      <c r="G159" s="77">
        <f>G68-Payroll!Y164</f>
        <v>-3316.0775265000411</v>
      </c>
      <c r="H159" s="39"/>
      <c r="I159" s="77">
        <f>I68-Payroll!AA164</f>
        <v>-8820.5590770299896</v>
      </c>
      <c r="J159" s="39"/>
      <c r="K159" s="77">
        <f>K68-Payroll!AC164</f>
        <v>-14991.114258570655</v>
      </c>
      <c r="L159" s="39"/>
      <c r="M159" s="77">
        <f>M68-Payroll!AE164</f>
        <v>-21896.662943741889</v>
      </c>
    </row>
    <row r="160" spans="1:13" s="37" customFormat="1" ht="12" x14ac:dyDescent="0.2">
      <c r="B160" s="86"/>
      <c r="C160" s="38"/>
      <c r="E160" s="39"/>
      <c r="F160" s="39"/>
      <c r="G160" s="39"/>
      <c r="H160" s="39"/>
      <c r="I160" s="39"/>
      <c r="J160" s="39"/>
      <c r="K160" s="39"/>
      <c r="L160" s="39"/>
      <c r="M160" s="39"/>
    </row>
    <row r="161" spans="2:13" s="37" customFormat="1" ht="12" x14ac:dyDescent="0.2">
      <c r="B161" s="86"/>
      <c r="C161" s="38"/>
      <c r="E161" s="39"/>
      <c r="F161" s="39"/>
      <c r="G161" s="39"/>
      <c r="H161" s="39"/>
      <c r="I161" s="39"/>
      <c r="J161" s="39"/>
      <c r="K161" s="39"/>
      <c r="L161" s="39"/>
      <c r="M161" s="39"/>
    </row>
    <row r="162" spans="2:13" s="37" customFormat="1" ht="12" x14ac:dyDescent="0.2">
      <c r="B162" s="86"/>
      <c r="C162" s="38"/>
      <c r="E162" s="39"/>
      <c r="F162" s="39"/>
      <c r="G162" s="39"/>
      <c r="H162" s="39"/>
      <c r="I162" s="39"/>
      <c r="J162" s="39"/>
      <c r="K162" s="39"/>
      <c r="L162" s="39"/>
      <c r="M162" s="39"/>
    </row>
    <row r="163" spans="2:13" s="37" customFormat="1" ht="12" x14ac:dyDescent="0.2">
      <c r="B163" s="86"/>
      <c r="C163" s="38"/>
      <c r="E163" s="39"/>
      <c r="F163" s="39"/>
      <c r="G163" s="39"/>
      <c r="H163" s="39"/>
      <c r="I163" s="39"/>
      <c r="J163" s="39"/>
      <c r="K163" s="39"/>
      <c r="L163" s="39"/>
      <c r="M163" s="39"/>
    </row>
    <row r="164" spans="2:13" s="37" customFormat="1" ht="12" x14ac:dyDescent="0.2">
      <c r="B164" s="86"/>
      <c r="C164" s="38"/>
      <c r="E164" s="39"/>
      <c r="F164" s="39"/>
      <c r="G164" s="39"/>
      <c r="H164" s="39"/>
      <c r="I164" s="39"/>
      <c r="J164" s="39"/>
      <c r="K164" s="39"/>
      <c r="L164" s="39"/>
      <c r="M164" s="39"/>
    </row>
    <row r="165" spans="2:13" s="37" customFormat="1" ht="12" x14ac:dyDescent="0.2">
      <c r="B165" s="86"/>
      <c r="C165" s="38"/>
      <c r="E165" s="39"/>
      <c r="F165" s="39"/>
      <c r="G165" s="39"/>
      <c r="H165" s="39"/>
      <c r="I165" s="39"/>
      <c r="J165" s="39"/>
      <c r="K165" s="39"/>
      <c r="L165" s="39"/>
      <c r="M165" s="39"/>
    </row>
    <row r="166" spans="2:13" s="37" customFormat="1" ht="12" x14ac:dyDescent="0.2">
      <c r="B166" s="86"/>
      <c r="C166" s="38"/>
      <c r="E166" s="39"/>
      <c r="F166" s="39"/>
      <c r="G166" s="39"/>
      <c r="H166" s="39"/>
      <c r="I166" s="39"/>
      <c r="J166" s="39"/>
      <c r="K166" s="39"/>
      <c r="L166" s="39"/>
      <c r="M166" s="39"/>
    </row>
    <row r="167" spans="2:13" s="37" customFormat="1" ht="12" x14ac:dyDescent="0.2">
      <c r="B167" s="86"/>
      <c r="C167" s="38"/>
      <c r="E167" s="39"/>
      <c r="F167" s="39"/>
      <c r="G167" s="39"/>
      <c r="H167" s="39"/>
      <c r="I167" s="39"/>
      <c r="J167" s="39"/>
      <c r="K167" s="39"/>
      <c r="L167" s="39"/>
      <c r="M167" s="39"/>
    </row>
    <row r="168" spans="2:13" s="37" customFormat="1" ht="12" x14ac:dyDescent="0.2">
      <c r="B168" s="86"/>
      <c r="C168" s="38"/>
      <c r="E168" s="39"/>
      <c r="F168" s="39"/>
      <c r="G168" s="39"/>
      <c r="H168" s="39"/>
      <c r="I168" s="39"/>
      <c r="J168" s="39"/>
      <c r="K168" s="39"/>
      <c r="L168" s="39"/>
      <c r="M168" s="39"/>
    </row>
    <row r="169" spans="2:13" s="37" customFormat="1" ht="12" x14ac:dyDescent="0.2">
      <c r="B169" s="86"/>
      <c r="C169" s="38"/>
      <c r="E169" s="39"/>
      <c r="F169" s="39"/>
      <c r="G169" s="39"/>
      <c r="H169" s="39"/>
      <c r="I169" s="39"/>
      <c r="J169" s="39"/>
      <c r="K169" s="39"/>
      <c r="L169" s="39"/>
      <c r="M169" s="39"/>
    </row>
    <row r="170" spans="2:13" s="37" customFormat="1" ht="12" x14ac:dyDescent="0.2">
      <c r="B170" s="86"/>
      <c r="C170" s="38"/>
      <c r="E170" s="39"/>
      <c r="F170" s="39"/>
      <c r="G170" s="39"/>
      <c r="H170" s="39"/>
      <c r="I170" s="39"/>
      <c r="J170" s="39"/>
      <c r="K170" s="39"/>
      <c r="L170" s="39"/>
      <c r="M170" s="39"/>
    </row>
    <row r="171" spans="2:13" s="37" customFormat="1" ht="12" x14ac:dyDescent="0.2">
      <c r="B171" s="86"/>
      <c r="C171" s="38"/>
      <c r="E171" s="39"/>
      <c r="F171" s="39"/>
      <c r="G171" s="39"/>
      <c r="H171" s="39"/>
      <c r="I171" s="39"/>
      <c r="J171" s="39"/>
      <c r="K171" s="39"/>
      <c r="L171" s="39"/>
      <c r="M171" s="39"/>
    </row>
    <row r="172" spans="2:13" s="37" customFormat="1" ht="12" x14ac:dyDescent="0.2">
      <c r="B172" s="86"/>
      <c r="C172" s="38"/>
      <c r="E172" s="39"/>
      <c r="F172" s="39"/>
      <c r="G172" s="39"/>
      <c r="H172" s="39"/>
      <c r="I172" s="39"/>
      <c r="J172" s="39"/>
      <c r="K172" s="39"/>
      <c r="L172" s="39"/>
      <c r="M172" s="39"/>
    </row>
    <row r="173" spans="2:13" s="37" customFormat="1" ht="12" x14ac:dyDescent="0.2">
      <c r="B173" s="86"/>
      <c r="C173" s="38"/>
      <c r="E173" s="39"/>
      <c r="F173" s="39"/>
      <c r="G173" s="39"/>
      <c r="H173" s="39"/>
      <c r="I173" s="39"/>
      <c r="J173" s="39"/>
      <c r="K173" s="39"/>
      <c r="L173" s="39"/>
      <c r="M173" s="39"/>
    </row>
    <row r="174" spans="2:13" s="37" customFormat="1" ht="12" x14ac:dyDescent="0.2">
      <c r="B174" s="86"/>
      <c r="C174" s="38"/>
      <c r="E174" s="39"/>
      <c r="F174" s="39"/>
      <c r="G174" s="39"/>
      <c r="H174" s="39"/>
      <c r="I174" s="39"/>
      <c r="J174" s="39"/>
      <c r="K174" s="39"/>
      <c r="L174" s="39"/>
      <c r="M174" s="39"/>
    </row>
    <row r="175" spans="2:13" s="37" customFormat="1" ht="12" x14ac:dyDescent="0.2">
      <c r="B175" s="86"/>
      <c r="C175" s="38"/>
      <c r="E175" s="39"/>
      <c r="F175" s="39"/>
      <c r="G175" s="39"/>
      <c r="H175" s="39"/>
      <c r="I175" s="39"/>
      <c r="J175" s="39"/>
      <c r="K175" s="39"/>
      <c r="L175" s="39"/>
      <c r="M175" s="39"/>
    </row>
    <row r="176" spans="2:13" s="37" customFormat="1" ht="12" x14ac:dyDescent="0.2">
      <c r="B176" s="86"/>
      <c r="C176" s="38"/>
      <c r="E176" s="39"/>
      <c r="F176" s="39"/>
      <c r="G176" s="39"/>
      <c r="H176" s="39"/>
      <c r="I176" s="39"/>
      <c r="J176" s="39"/>
      <c r="K176" s="39"/>
      <c r="L176" s="39"/>
      <c r="M176" s="39"/>
    </row>
    <row r="177" spans="2:13" s="37" customFormat="1" ht="12" x14ac:dyDescent="0.2">
      <c r="B177" s="86"/>
      <c r="C177" s="38"/>
      <c r="E177" s="39"/>
      <c r="F177" s="39"/>
      <c r="G177" s="39"/>
      <c r="H177" s="39"/>
      <c r="I177" s="39"/>
      <c r="J177" s="39"/>
      <c r="K177" s="39"/>
      <c r="L177" s="39"/>
      <c r="M177" s="39"/>
    </row>
    <row r="178" spans="2:13" s="37" customFormat="1" ht="12" x14ac:dyDescent="0.2">
      <c r="B178" s="86"/>
      <c r="C178" s="38"/>
      <c r="E178" s="39"/>
      <c r="F178" s="39"/>
      <c r="G178" s="39"/>
      <c r="H178" s="39"/>
      <c r="I178" s="39"/>
      <c r="J178" s="39"/>
      <c r="K178" s="39"/>
      <c r="L178" s="39"/>
      <c r="M178" s="39"/>
    </row>
    <row r="179" spans="2:13" s="37" customFormat="1" ht="12" x14ac:dyDescent="0.2">
      <c r="B179" s="86"/>
      <c r="C179" s="38"/>
      <c r="E179" s="39"/>
      <c r="F179" s="39"/>
      <c r="G179" s="39"/>
      <c r="H179" s="39"/>
      <c r="I179" s="39"/>
      <c r="J179" s="39"/>
      <c r="K179" s="39"/>
      <c r="L179" s="39"/>
      <c r="M179" s="39"/>
    </row>
    <row r="180" spans="2:13" s="37" customFormat="1" ht="12" x14ac:dyDescent="0.2">
      <c r="B180" s="86"/>
      <c r="C180" s="38"/>
      <c r="E180" s="39"/>
      <c r="F180" s="39"/>
      <c r="G180" s="39"/>
      <c r="H180" s="39"/>
      <c r="I180" s="39"/>
      <c r="J180" s="39"/>
      <c r="K180" s="39"/>
      <c r="L180" s="39"/>
      <c r="M180" s="39"/>
    </row>
    <row r="181" spans="2:13" s="37" customFormat="1" ht="12" x14ac:dyDescent="0.2">
      <c r="B181" s="86"/>
      <c r="C181" s="38"/>
      <c r="E181" s="39"/>
      <c r="F181" s="39"/>
      <c r="G181" s="39"/>
      <c r="H181" s="39"/>
      <c r="I181" s="39"/>
      <c r="J181" s="39"/>
      <c r="K181" s="39"/>
      <c r="L181" s="39"/>
      <c r="M181" s="39"/>
    </row>
    <row r="182" spans="2:13" s="37" customFormat="1" ht="12" x14ac:dyDescent="0.2">
      <c r="B182" s="86"/>
      <c r="C182" s="38"/>
      <c r="E182" s="39"/>
      <c r="F182" s="39"/>
      <c r="G182" s="39"/>
      <c r="H182" s="39"/>
      <c r="I182" s="39"/>
      <c r="J182" s="39"/>
      <c r="K182" s="39"/>
      <c r="L182" s="39"/>
      <c r="M182" s="39"/>
    </row>
    <row r="183" spans="2:13" s="37" customFormat="1" ht="12" x14ac:dyDescent="0.2">
      <c r="B183" s="86"/>
      <c r="C183" s="38"/>
      <c r="E183" s="39"/>
      <c r="F183" s="39"/>
      <c r="G183" s="39"/>
      <c r="H183" s="39"/>
      <c r="I183" s="39"/>
      <c r="J183" s="39"/>
      <c r="K183" s="39"/>
      <c r="L183" s="39"/>
      <c r="M183" s="39"/>
    </row>
    <row r="184" spans="2:13" s="37" customFormat="1" ht="12" x14ac:dyDescent="0.2">
      <c r="B184" s="86"/>
      <c r="C184" s="38"/>
      <c r="E184" s="39"/>
      <c r="F184" s="39"/>
      <c r="G184" s="39"/>
      <c r="H184" s="39"/>
      <c r="I184" s="39"/>
      <c r="J184" s="39"/>
      <c r="K184" s="39"/>
      <c r="L184" s="39"/>
      <c r="M184" s="39"/>
    </row>
    <row r="185" spans="2:13" s="37" customFormat="1" ht="12" x14ac:dyDescent="0.2">
      <c r="B185" s="86"/>
      <c r="C185" s="38"/>
      <c r="E185" s="39"/>
      <c r="F185" s="39"/>
      <c r="G185" s="39"/>
      <c r="H185" s="39"/>
      <c r="I185" s="39"/>
      <c r="J185" s="39"/>
      <c r="K185" s="39"/>
      <c r="L185" s="39"/>
      <c r="M185" s="39"/>
    </row>
    <row r="186" spans="2:13" s="37" customFormat="1" ht="12" x14ac:dyDescent="0.2">
      <c r="B186" s="86"/>
      <c r="C186" s="38"/>
      <c r="E186" s="39"/>
      <c r="F186" s="39"/>
      <c r="G186" s="39"/>
      <c r="H186" s="39"/>
      <c r="I186" s="39"/>
      <c r="J186" s="39"/>
      <c r="K186" s="39"/>
      <c r="L186" s="39"/>
      <c r="M186" s="39"/>
    </row>
    <row r="187" spans="2:13" s="37" customFormat="1" ht="12" x14ac:dyDescent="0.2">
      <c r="B187" s="86"/>
      <c r="C187" s="38"/>
      <c r="E187" s="39"/>
      <c r="F187" s="39"/>
      <c r="G187" s="39"/>
      <c r="H187" s="39"/>
      <c r="I187" s="39"/>
      <c r="J187" s="39"/>
      <c r="K187" s="39"/>
      <c r="L187" s="39"/>
      <c r="M187" s="39"/>
    </row>
    <row r="188" spans="2:13" s="37" customFormat="1" ht="12" x14ac:dyDescent="0.2">
      <c r="B188" s="86"/>
      <c r="C188" s="38"/>
      <c r="E188" s="39"/>
      <c r="F188" s="39"/>
      <c r="G188" s="39"/>
      <c r="H188" s="39"/>
      <c r="I188" s="39"/>
      <c r="J188" s="39"/>
      <c r="K188" s="39"/>
      <c r="L188" s="39"/>
      <c r="M188" s="39"/>
    </row>
    <row r="189" spans="2:13" s="37" customFormat="1" ht="12" x14ac:dyDescent="0.2">
      <c r="B189" s="86"/>
      <c r="C189" s="38"/>
      <c r="E189" s="39"/>
      <c r="F189" s="39"/>
      <c r="G189" s="39"/>
      <c r="H189" s="39"/>
      <c r="I189" s="39"/>
      <c r="J189" s="39"/>
      <c r="K189" s="39"/>
      <c r="L189" s="39"/>
      <c r="M189" s="39"/>
    </row>
    <row r="190" spans="2:13" s="37" customFormat="1" ht="12" x14ac:dyDescent="0.2">
      <c r="B190" s="86"/>
      <c r="C190" s="38"/>
      <c r="E190" s="39"/>
      <c r="F190" s="39"/>
      <c r="G190" s="39"/>
      <c r="H190" s="39"/>
      <c r="I190" s="39"/>
      <c r="J190" s="39"/>
      <c r="K190" s="39"/>
      <c r="L190" s="39"/>
      <c r="M190" s="39"/>
    </row>
    <row r="191" spans="2:13" s="37" customFormat="1" ht="12" x14ac:dyDescent="0.2">
      <c r="B191" s="86"/>
      <c r="C191" s="38"/>
      <c r="E191" s="39"/>
      <c r="F191" s="39"/>
      <c r="G191" s="39"/>
      <c r="H191" s="39"/>
      <c r="I191" s="39"/>
      <c r="J191" s="39"/>
      <c r="K191" s="39"/>
      <c r="L191" s="39"/>
      <c r="M191" s="39"/>
    </row>
    <row r="192" spans="2:13" s="37" customFormat="1" ht="12" x14ac:dyDescent="0.2">
      <c r="B192" s="86"/>
      <c r="C192" s="38"/>
      <c r="E192" s="39"/>
      <c r="F192" s="39"/>
      <c r="G192" s="39"/>
      <c r="H192" s="39"/>
      <c r="I192" s="39"/>
      <c r="J192" s="39"/>
      <c r="K192" s="39"/>
      <c r="L192" s="39"/>
      <c r="M192" s="39"/>
    </row>
    <row r="193" spans="2:13" s="37" customFormat="1" ht="12" x14ac:dyDescent="0.2">
      <c r="B193" s="86"/>
      <c r="C193" s="38"/>
      <c r="E193" s="39"/>
      <c r="F193" s="39"/>
      <c r="G193" s="39"/>
      <c r="H193" s="39"/>
      <c r="I193" s="39"/>
      <c r="J193" s="39"/>
      <c r="K193" s="39"/>
      <c r="L193" s="39"/>
      <c r="M193" s="39"/>
    </row>
    <row r="194" spans="2:13" s="37" customFormat="1" ht="12" x14ac:dyDescent="0.2">
      <c r="B194" s="86"/>
      <c r="C194" s="38"/>
      <c r="E194" s="39"/>
      <c r="F194" s="39"/>
      <c r="G194" s="39"/>
      <c r="H194" s="39"/>
      <c r="I194" s="39"/>
      <c r="J194" s="39"/>
      <c r="K194" s="39"/>
      <c r="L194" s="39"/>
      <c r="M194" s="39"/>
    </row>
    <row r="195" spans="2:13" s="37" customFormat="1" ht="12" x14ac:dyDescent="0.2">
      <c r="B195" s="86"/>
      <c r="C195" s="38"/>
      <c r="E195" s="39"/>
      <c r="F195" s="39"/>
      <c r="G195" s="39"/>
      <c r="H195" s="39"/>
      <c r="I195" s="39"/>
      <c r="J195" s="39"/>
      <c r="K195" s="39"/>
      <c r="L195" s="39"/>
      <c r="M195" s="39"/>
    </row>
    <row r="196" spans="2:13" s="37" customFormat="1" ht="12" x14ac:dyDescent="0.2">
      <c r="B196" s="86"/>
      <c r="C196" s="38"/>
      <c r="E196" s="39"/>
      <c r="F196" s="39"/>
      <c r="G196" s="39"/>
      <c r="H196" s="39"/>
      <c r="I196" s="39"/>
      <c r="J196" s="39"/>
      <c r="K196" s="39"/>
      <c r="L196" s="39"/>
      <c r="M196" s="39"/>
    </row>
    <row r="197" spans="2:13" s="37" customFormat="1" ht="12" x14ac:dyDescent="0.2">
      <c r="B197" s="86"/>
      <c r="C197" s="38"/>
      <c r="E197" s="39"/>
      <c r="F197" s="39"/>
      <c r="G197" s="39"/>
      <c r="H197" s="39"/>
      <c r="I197" s="39"/>
      <c r="J197" s="39"/>
      <c r="K197" s="39"/>
      <c r="L197" s="39"/>
      <c r="M197" s="39"/>
    </row>
    <row r="198" spans="2:13" s="37" customFormat="1" ht="12" x14ac:dyDescent="0.2">
      <c r="B198" s="86"/>
      <c r="C198" s="38"/>
      <c r="E198" s="39"/>
      <c r="F198" s="39"/>
      <c r="G198" s="39"/>
      <c r="H198" s="39"/>
      <c r="I198" s="39"/>
      <c r="J198" s="39"/>
      <c r="K198" s="39"/>
      <c r="L198" s="39"/>
      <c r="M198" s="39"/>
    </row>
    <row r="199" spans="2:13" s="37" customFormat="1" ht="12" x14ac:dyDescent="0.2">
      <c r="B199" s="86"/>
      <c r="C199" s="38"/>
      <c r="E199" s="39"/>
      <c r="F199" s="39"/>
      <c r="G199" s="39"/>
      <c r="H199" s="39"/>
      <c r="I199" s="39"/>
      <c r="J199" s="39"/>
      <c r="K199" s="39"/>
      <c r="L199" s="39"/>
      <c r="M199" s="39"/>
    </row>
    <row r="200" spans="2:13" s="37" customFormat="1" ht="12" x14ac:dyDescent="0.2">
      <c r="B200" s="86"/>
      <c r="C200" s="38"/>
      <c r="E200" s="39"/>
      <c r="F200" s="39"/>
      <c r="G200" s="39"/>
      <c r="H200" s="39"/>
      <c r="I200" s="39"/>
      <c r="J200" s="39"/>
      <c r="K200" s="39"/>
      <c r="L200" s="39"/>
      <c r="M200" s="39"/>
    </row>
    <row r="201" spans="2:13" s="37" customFormat="1" ht="12" x14ac:dyDescent="0.2">
      <c r="B201" s="86"/>
      <c r="C201" s="38"/>
      <c r="E201" s="39"/>
      <c r="F201" s="39"/>
      <c r="G201" s="39"/>
      <c r="H201" s="39"/>
      <c r="I201" s="39"/>
      <c r="J201" s="39"/>
      <c r="K201" s="39"/>
      <c r="L201" s="39"/>
      <c r="M201" s="39"/>
    </row>
    <row r="202" spans="2:13" s="37" customFormat="1" ht="12" x14ac:dyDescent="0.2">
      <c r="B202" s="86"/>
      <c r="C202" s="38"/>
      <c r="E202" s="39"/>
      <c r="F202" s="39"/>
      <c r="G202" s="39"/>
      <c r="H202" s="39"/>
      <c r="I202" s="39"/>
      <c r="J202" s="39"/>
      <c r="K202" s="39"/>
      <c r="L202" s="39"/>
      <c r="M202" s="39"/>
    </row>
    <row r="203" spans="2:13" s="37" customFormat="1" ht="12" x14ac:dyDescent="0.2">
      <c r="B203" s="86"/>
      <c r="C203" s="38"/>
      <c r="E203" s="39"/>
      <c r="F203" s="39"/>
      <c r="G203" s="39"/>
      <c r="H203" s="39"/>
      <c r="I203" s="39"/>
      <c r="J203" s="39"/>
      <c r="K203" s="39"/>
      <c r="L203" s="39"/>
      <c r="M203" s="39"/>
    </row>
    <row r="204" spans="2:13" s="37" customFormat="1" ht="12" x14ac:dyDescent="0.2">
      <c r="B204" s="86"/>
      <c r="C204" s="38"/>
      <c r="E204" s="39"/>
      <c r="F204" s="39"/>
      <c r="G204" s="39"/>
      <c r="H204" s="39"/>
      <c r="I204" s="39"/>
      <c r="J204" s="39"/>
      <c r="K204" s="39"/>
      <c r="L204" s="39"/>
      <c r="M204" s="39"/>
    </row>
    <row r="205" spans="2:13" s="37" customFormat="1" ht="12" x14ac:dyDescent="0.2">
      <c r="B205" s="86"/>
      <c r="C205" s="38"/>
      <c r="E205" s="39"/>
      <c r="F205" s="39"/>
      <c r="G205" s="39"/>
      <c r="H205" s="39"/>
      <c r="I205" s="39"/>
      <c r="J205" s="39"/>
      <c r="K205" s="39"/>
      <c r="L205" s="39"/>
      <c r="M205" s="39"/>
    </row>
    <row r="206" spans="2:13" s="37" customFormat="1" ht="12" x14ac:dyDescent="0.2">
      <c r="B206" s="86"/>
      <c r="C206" s="38"/>
      <c r="E206" s="39"/>
      <c r="F206" s="39"/>
      <c r="G206" s="39"/>
      <c r="H206" s="39"/>
      <c r="I206" s="39"/>
      <c r="J206" s="39"/>
      <c r="K206" s="39"/>
      <c r="L206" s="39"/>
      <c r="M206" s="39"/>
    </row>
    <row r="207" spans="2:13" s="37" customFormat="1" ht="12" x14ac:dyDescent="0.2">
      <c r="B207" s="86"/>
      <c r="C207" s="38"/>
      <c r="E207" s="39"/>
      <c r="F207" s="39"/>
      <c r="G207" s="39"/>
      <c r="H207" s="39"/>
      <c r="I207" s="39"/>
      <c r="J207" s="39"/>
      <c r="K207" s="39"/>
      <c r="L207" s="39"/>
      <c r="M207" s="39"/>
    </row>
    <row r="208" spans="2:13" s="37" customFormat="1" ht="12" x14ac:dyDescent="0.2">
      <c r="B208" s="86"/>
      <c r="C208" s="38"/>
      <c r="E208" s="39"/>
      <c r="F208" s="39"/>
      <c r="G208" s="39"/>
      <c r="H208" s="39"/>
      <c r="I208" s="39"/>
      <c r="J208" s="39"/>
      <c r="K208" s="39"/>
      <c r="L208" s="39"/>
      <c r="M208" s="39"/>
    </row>
    <row r="209" spans="2:13" s="37" customFormat="1" ht="12" x14ac:dyDescent="0.2">
      <c r="B209" s="86"/>
      <c r="C209" s="38"/>
      <c r="E209" s="39"/>
      <c r="F209" s="39"/>
      <c r="G209" s="39"/>
      <c r="H209" s="39"/>
      <c r="I209" s="39"/>
      <c r="J209" s="39"/>
      <c r="K209" s="39"/>
      <c r="L209" s="39"/>
      <c r="M209" s="39"/>
    </row>
    <row r="210" spans="2:13" s="37" customFormat="1" ht="12" x14ac:dyDescent="0.2">
      <c r="B210" s="86"/>
      <c r="C210" s="38"/>
      <c r="E210" s="39"/>
      <c r="F210" s="39"/>
      <c r="G210" s="39"/>
      <c r="H210" s="39"/>
      <c r="I210" s="39"/>
      <c r="J210" s="39"/>
      <c r="K210" s="39"/>
      <c r="L210" s="39"/>
      <c r="M210" s="39"/>
    </row>
    <row r="211" spans="2:13" s="37" customFormat="1" ht="12" x14ac:dyDescent="0.2">
      <c r="B211" s="86"/>
      <c r="C211" s="38"/>
      <c r="E211" s="39"/>
      <c r="F211" s="39"/>
      <c r="G211" s="39"/>
      <c r="H211" s="39"/>
      <c r="I211" s="39"/>
      <c r="J211" s="39"/>
      <c r="K211" s="39"/>
      <c r="L211" s="39"/>
      <c r="M211" s="39"/>
    </row>
    <row r="212" spans="2:13" s="37" customFormat="1" ht="12" x14ac:dyDescent="0.2">
      <c r="B212" s="86"/>
      <c r="C212" s="38"/>
      <c r="E212" s="39"/>
      <c r="F212" s="39"/>
      <c r="G212" s="39"/>
      <c r="H212" s="39"/>
      <c r="I212" s="39"/>
      <c r="J212" s="39"/>
      <c r="K212" s="39"/>
      <c r="L212" s="39"/>
      <c r="M212" s="39"/>
    </row>
    <row r="213" spans="2:13" s="37" customFormat="1" ht="12" x14ac:dyDescent="0.2">
      <c r="B213" s="86"/>
      <c r="C213" s="38"/>
      <c r="E213" s="39"/>
      <c r="F213" s="39"/>
      <c r="G213" s="39"/>
      <c r="H213" s="39"/>
      <c r="I213" s="39"/>
      <c r="J213" s="39"/>
      <c r="K213" s="39"/>
      <c r="L213" s="39"/>
      <c r="M213" s="39"/>
    </row>
    <row r="214" spans="2:13" s="37" customFormat="1" ht="12" x14ac:dyDescent="0.2">
      <c r="B214" s="86"/>
      <c r="C214" s="38"/>
      <c r="E214" s="39"/>
      <c r="F214" s="39"/>
      <c r="G214" s="39"/>
      <c r="H214" s="39"/>
      <c r="I214" s="39"/>
      <c r="J214" s="39"/>
      <c r="K214" s="39"/>
      <c r="L214" s="39"/>
      <c r="M214" s="39"/>
    </row>
    <row r="215" spans="2:13" s="37" customFormat="1" ht="12" x14ac:dyDescent="0.2">
      <c r="B215" s="86"/>
      <c r="C215" s="38"/>
      <c r="E215" s="39"/>
      <c r="F215" s="39"/>
      <c r="G215" s="39"/>
      <c r="H215" s="39"/>
      <c r="I215" s="39"/>
      <c r="J215" s="39"/>
      <c r="K215" s="39"/>
      <c r="L215" s="39"/>
      <c r="M215" s="39"/>
    </row>
    <row r="216" spans="2:13" s="37" customFormat="1" ht="12" x14ac:dyDescent="0.2">
      <c r="B216" s="86"/>
      <c r="C216" s="38"/>
      <c r="E216" s="39"/>
      <c r="F216" s="39"/>
      <c r="G216" s="39"/>
      <c r="H216" s="39"/>
      <c r="I216" s="39"/>
      <c r="J216" s="39"/>
      <c r="K216" s="39"/>
      <c r="L216" s="39"/>
      <c r="M216" s="39"/>
    </row>
    <row r="217" spans="2:13" s="37" customFormat="1" ht="12" x14ac:dyDescent="0.2">
      <c r="B217" s="86"/>
      <c r="C217" s="38"/>
      <c r="E217" s="39"/>
      <c r="F217" s="39"/>
      <c r="G217" s="39"/>
      <c r="H217" s="39"/>
      <c r="I217" s="39"/>
      <c r="J217" s="39"/>
      <c r="K217" s="39"/>
      <c r="L217" s="39"/>
      <c r="M217" s="39"/>
    </row>
    <row r="218" spans="2:13" s="37" customFormat="1" ht="12" x14ac:dyDescent="0.2">
      <c r="B218" s="86"/>
      <c r="C218" s="38"/>
      <c r="E218" s="39"/>
      <c r="F218" s="39"/>
      <c r="G218" s="39"/>
      <c r="H218" s="39"/>
      <c r="I218" s="39"/>
      <c r="J218" s="39"/>
      <c r="K218" s="39"/>
      <c r="L218" s="39"/>
      <c r="M218" s="39"/>
    </row>
    <row r="219" spans="2:13" s="37" customFormat="1" ht="12" x14ac:dyDescent="0.2">
      <c r="B219" s="86"/>
      <c r="C219" s="38"/>
      <c r="E219" s="39"/>
      <c r="F219" s="39"/>
      <c r="G219" s="39"/>
      <c r="H219" s="39"/>
      <c r="I219" s="39"/>
      <c r="J219" s="39"/>
      <c r="K219" s="39"/>
      <c r="L219" s="39"/>
      <c r="M219" s="39"/>
    </row>
    <row r="220" spans="2:13" s="37" customFormat="1" ht="12" x14ac:dyDescent="0.2">
      <c r="B220" s="86"/>
      <c r="C220" s="38"/>
      <c r="E220" s="39"/>
      <c r="F220" s="39"/>
      <c r="G220" s="39"/>
      <c r="H220" s="39"/>
      <c r="I220" s="39"/>
      <c r="J220" s="39"/>
      <c r="K220" s="39"/>
      <c r="L220" s="39"/>
      <c r="M220" s="39"/>
    </row>
    <row r="221" spans="2:13" s="37" customFormat="1" ht="12" x14ac:dyDescent="0.2">
      <c r="B221" s="86"/>
      <c r="C221" s="38"/>
      <c r="E221" s="39"/>
      <c r="F221" s="39"/>
      <c r="G221" s="39"/>
      <c r="H221" s="39"/>
      <c r="I221" s="39"/>
      <c r="J221" s="39"/>
      <c r="K221" s="39"/>
      <c r="L221" s="39"/>
      <c r="M221" s="39"/>
    </row>
    <row r="222" spans="2:13" s="37" customFormat="1" ht="12" x14ac:dyDescent="0.2">
      <c r="B222" s="86"/>
      <c r="C222" s="38"/>
      <c r="E222" s="39"/>
      <c r="F222" s="39"/>
      <c r="G222" s="39"/>
      <c r="H222" s="39"/>
      <c r="I222" s="39"/>
      <c r="J222" s="39"/>
      <c r="K222" s="39"/>
      <c r="L222" s="39"/>
      <c r="M222" s="39"/>
    </row>
    <row r="223" spans="2:13" s="37" customFormat="1" ht="12" x14ac:dyDescent="0.2">
      <c r="B223" s="86"/>
      <c r="C223" s="38"/>
      <c r="E223" s="39"/>
      <c r="F223" s="39"/>
      <c r="G223" s="39"/>
      <c r="H223" s="39"/>
      <c r="I223" s="39"/>
      <c r="J223" s="39"/>
      <c r="K223" s="39"/>
      <c r="L223" s="39"/>
      <c r="M223" s="39"/>
    </row>
    <row r="224" spans="2:13" s="37" customFormat="1" ht="12" x14ac:dyDescent="0.2">
      <c r="B224" s="86"/>
      <c r="C224" s="38"/>
      <c r="E224" s="39"/>
      <c r="F224" s="39"/>
      <c r="G224" s="39"/>
      <c r="H224" s="39"/>
      <c r="I224" s="39"/>
      <c r="J224" s="39"/>
      <c r="K224" s="39"/>
      <c r="L224" s="39"/>
      <c r="M224" s="39"/>
    </row>
    <row r="225" spans="2:13" s="37" customFormat="1" ht="12" x14ac:dyDescent="0.2">
      <c r="B225" s="86"/>
      <c r="C225" s="38"/>
      <c r="E225" s="39"/>
      <c r="F225" s="39"/>
      <c r="G225" s="39"/>
      <c r="H225" s="39"/>
      <c r="I225" s="39"/>
      <c r="J225" s="39"/>
      <c r="K225" s="39"/>
      <c r="L225" s="39"/>
      <c r="M225" s="39"/>
    </row>
    <row r="226" spans="2:13" s="37" customFormat="1" ht="12" x14ac:dyDescent="0.2">
      <c r="B226" s="86"/>
      <c r="C226" s="38"/>
      <c r="E226" s="39"/>
      <c r="F226" s="39"/>
      <c r="G226" s="39"/>
      <c r="H226" s="39"/>
      <c r="I226" s="39"/>
      <c r="J226" s="39"/>
      <c r="K226" s="39"/>
      <c r="L226" s="39"/>
      <c r="M226" s="39"/>
    </row>
    <row r="227" spans="2:13" s="37" customFormat="1" ht="12" x14ac:dyDescent="0.2">
      <c r="B227" s="86"/>
      <c r="C227" s="38"/>
      <c r="E227" s="39"/>
      <c r="F227" s="39"/>
      <c r="G227" s="39"/>
      <c r="H227" s="39"/>
      <c r="I227" s="39"/>
      <c r="J227" s="39"/>
      <c r="K227" s="39"/>
      <c r="L227" s="39"/>
      <c r="M227" s="39"/>
    </row>
    <row r="228" spans="2:13" s="37" customFormat="1" ht="12" x14ac:dyDescent="0.2">
      <c r="B228" s="86"/>
      <c r="C228" s="38"/>
      <c r="E228" s="39"/>
      <c r="F228" s="39"/>
      <c r="G228" s="39"/>
      <c r="H228" s="39"/>
      <c r="I228" s="39"/>
      <c r="J228" s="39"/>
      <c r="K228" s="39"/>
      <c r="L228" s="39"/>
      <c r="M228" s="39"/>
    </row>
    <row r="229" spans="2:13" s="37" customFormat="1" ht="12" x14ac:dyDescent="0.2">
      <c r="B229" s="86"/>
      <c r="C229" s="38"/>
      <c r="E229" s="39"/>
      <c r="F229" s="39"/>
      <c r="G229" s="39"/>
      <c r="H229" s="39"/>
      <c r="I229" s="39"/>
      <c r="J229" s="39"/>
      <c r="K229" s="39"/>
      <c r="L229" s="39"/>
      <c r="M229" s="39"/>
    </row>
    <row r="230" spans="2:13" s="37" customFormat="1" ht="12" x14ac:dyDescent="0.2">
      <c r="B230" s="86"/>
      <c r="C230" s="38"/>
      <c r="E230" s="39"/>
      <c r="F230" s="39"/>
      <c r="G230" s="39"/>
      <c r="H230" s="39"/>
      <c r="I230" s="39"/>
      <c r="J230" s="39"/>
      <c r="K230" s="39"/>
      <c r="L230" s="39"/>
      <c r="M230" s="39"/>
    </row>
    <row r="231" spans="2:13" s="37" customFormat="1" ht="12" x14ac:dyDescent="0.2">
      <c r="B231" s="86"/>
      <c r="C231" s="38"/>
      <c r="E231" s="39"/>
      <c r="F231" s="39"/>
      <c r="G231" s="39"/>
      <c r="H231" s="39"/>
      <c r="I231" s="39"/>
      <c r="J231" s="39"/>
      <c r="K231" s="39"/>
      <c r="L231" s="39"/>
      <c r="M231" s="39"/>
    </row>
    <row r="232" spans="2:13" s="37" customFormat="1" ht="12" x14ac:dyDescent="0.2">
      <c r="B232" s="86"/>
      <c r="C232" s="38"/>
      <c r="E232" s="39"/>
      <c r="F232" s="39"/>
      <c r="G232" s="39"/>
      <c r="H232" s="39"/>
      <c r="I232" s="39"/>
      <c r="J232" s="39"/>
      <c r="K232" s="39"/>
      <c r="L232" s="39"/>
      <c r="M232" s="39"/>
    </row>
    <row r="233" spans="2:13" s="37" customFormat="1" ht="12" x14ac:dyDescent="0.2">
      <c r="B233" s="86"/>
      <c r="C233" s="38"/>
      <c r="E233" s="39"/>
      <c r="F233" s="39"/>
      <c r="G233" s="39"/>
      <c r="H233" s="39"/>
      <c r="I233" s="39"/>
      <c r="J233" s="39"/>
      <c r="K233" s="39"/>
      <c r="L233" s="39"/>
      <c r="M233" s="39"/>
    </row>
    <row r="234" spans="2:13" s="37" customFormat="1" ht="12" x14ac:dyDescent="0.2">
      <c r="B234" s="86"/>
      <c r="C234" s="38"/>
      <c r="E234" s="39"/>
      <c r="F234" s="39"/>
      <c r="G234" s="39"/>
      <c r="H234" s="39"/>
      <c r="I234" s="39"/>
      <c r="J234" s="39"/>
      <c r="K234" s="39"/>
      <c r="L234" s="39"/>
      <c r="M234" s="39"/>
    </row>
    <row r="235" spans="2:13" s="37" customFormat="1" ht="12" x14ac:dyDescent="0.2">
      <c r="B235" s="86"/>
      <c r="C235" s="38"/>
      <c r="E235" s="39"/>
      <c r="F235" s="39"/>
      <c r="G235" s="39"/>
      <c r="H235" s="39"/>
      <c r="I235" s="39"/>
      <c r="J235" s="39"/>
      <c r="K235" s="39"/>
      <c r="L235" s="39"/>
      <c r="M235" s="39"/>
    </row>
    <row r="236" spans="2:13" s="37" customFormat="1" ht="12" x14ac:dyDescent="0.2">
      <c r="B236" s="86"/>
      <c r="C236" s="38"/>
      <c r="E236" s="39"/>
      <c r="F236" s="39"/>
      <c r="G236" s="39"/>
      <c r="H236" s="39"/>
      <c r="I236" s="39"/>
      <c r="J236" s="39"/>
      <c r="K236" s="39"/>
      <c r="L236" s="39"/>
      <c r="M236" s="39"/>
    </row>
    <row r="237" spans="2:13" s="37" customFormat="1" ht="12" x14ac:dyDescent="0.2">
      <c r="B237" s="86"/>
      <c r="C237" s="38"/>
      <c r="E237" s="39"/>
      <c r="F237" s="39"/>
      <c r="G237" s="39"/>
      <c r="H237" s="39"/>
      <c r="I237" s="39"/>
      <c r="J237" s="39"/>
      <c r="K237" s="39"/>
      <c r="L237" s="39"/>
      <c r="M237" s="39"/>
    </row>
    <row r="238" spans="2:13" s="37" customFormat="1" ht="12" x14ac:dyDescent="0.2">
      <c r="B238" s="86"/>
      <c r="C238" s="38"/>
      <c r="E238" s="39"/>
      <c r="F238" s="39"/>
      <c r="G238" s="39"/>
      <c r="H238" s="39"/>
      <c r="I238" s="39"/>
      <c r="J238" s="39"/>
      <c r="K238" s="39"/>
      <c r="L238" s="39"/>
      <c r="M238" s="39"/>
    </row>
    <row r="239" spans="2:13" s="37" customFormat="1" ht="12" x14ac:dyDescent="0.2">
      <c r="B239" s="86"/>
      <c r="C239" s="38"/>
      <c r="E239" s="39"/>
      <c r="F239" s="39"/>
      <c r="G239" s="39"/>
      <c r="H239" s="39"/>
      <c r="I239" s="39"/>
      <c r="J239" s="39"/>
      <c r="K239" s="39"/>
      <c r="L239" s="39"/>
      <c r="M239" s="39"/>
    </row>
    <row r="240" spans="2:13" s="37" customFormat="1" ht="12" x14ac:dyDescent="0.2">
      <c r="B240" s="86"/>
      <c r="C240" s="38"/>
      <c r="E240" s="39"/>
      <c r="F240" s="39"/>
      <c r="G240" s="39"/>
      <c r="H240" s="39"/>
      <c r="I240" s="39"/>
      <c r="J240" s="39"/>
      <c r="K240" s="39"/>
      <c r="L240" s="39"/>
      <c r="M240" s="39"/>
    </row>
    <row r="241" spans="2:13" s="37" customFormat="1" ht="12" x14ac:dyDescent="0.2">
      <c r="B241" s="86"/>
      <c r="C241" s="38"/>
      <c r="E241" s="39"/>
      <c r="F241" s="39"/>
      <c r="G241" s="39"/>
      <c r="H241" s="39"/>
      <c r="I241" s="39"/>
      <c r="J241" s="39"/>
      <c r="K241" s="39"/>
      <c r="L241" s="39"/>
      <c r="M241" s="39"/>
    </row>
    <row r="242" spans="2:13" s="37" customFormat="1" ht="12" x14ac:dyDescent="0.2">
      <c r="B242" s="86"/>
      <c r="C242" s="38"/>
      <c r="E242" s="39"/>
      <c r="F242" s="39"/>
      <c r="G242" s="39"/>
      <c r="H242" s="39"/>
      <c r="I242" s="39"/>
      <c r="J242" s="39"/>
      <c r="K242" s="39"/>
      <c r="L242" s="39"/>
      <c r="M242" s="39"/>
    </row>
    <row r="243" spans="2:13" s="37" customFormat="1" ht="12" x14ac:dyDescent="0.2">
      <c r="B243" s="86"/>
      <c r="C243" s="38"/>
      <c r="E243" s="39"/>
      <c r="F243" s="39"/>
      <c r="G243" s="39"/>
      <c r="H243" s="39"/>
      <c r="I243" s="39"/>
      <c r="J243" s="39"/>
      <c r="K243" s="39"/>
      <c r="L243" s="39"/>
      <c r="M243" s="39"/>
    </row>
    <row r="244" spans="2:13" s="37" customFormat="1" ht="12" x14ac:dyDescent="0.2">
      <c r="B244" s="86"/>
      <c r="C244" s="38"/>
      <c r="E244" s="39"/>
      <c r="F244" s="39"/>
      <c r="G244" s="39"/>
      <c r="H244" s="39"/>
      <c r="I244" s="39"/>
      <c r="J244" s="39"/>
      <c r="K244" s="39"/>
      <c r="L244" s="39"/>
      <c r="M244" s="39"/>
    </row>
    <row r="245" spans="2:13" s="37" customFormat="1" ht="12" x14ac:dyDescent="0.2">
      <c r="B245" s="86"/>
      <c r="C245" s="38"/>
      <c r="E245" s="39"/>
      <c r="F245" s="39"/>
      <c r="G245" s="39"/>
      <c r="H245" s="39"/>
      <c r="I245" s="39"/>
      <c r="J245" s="39"/>
      <c r="K245" s="39"/>
      <c r="L245" s="39"/>
      <c r="M245" s="39"/>
    </row>
    <row r="246" spans="2:13" s="37" customFormat="1" ht="12" x14ac:dyDescent="0.2">
      <c r="B246" s="86"/>
      <c r="C246" s="38"/>
      <c r="E246" s="39"/>
      <c r="F246" s="39"/>
      <c r="G246" s="39"/>
      <c r="H246" s="39"/>
      <c r="I246" s="39"/>
      <c r="J246" s="39"/>
      <c r="K246" s="39"/>
      <c r="L246" s="39"/>
      <c r="M246" s="39"/>
    </row>
    <row r="247" spans="2:13" s="37" customFormat="1" ht="12" x14ac:dyDescent="0.2">
      <c r="B247" s="86"/>
      <c r="C247" s="38"/>
      <c r="E247" s="39"/>
      <c r="F247" s="39"/>
      <c r="G247" s="39"/>
      <c r="H247" s="39"/>
      <c r="I247" s="39"/>
      <c r="J247" s="39"/>
      <c r="K247" s="39"/>
      <c r="L247" s="39"/>
      <c r="M247" s="39"/>
    </row>
    <row r="248" spans="2:13" s="37" customFormat="1" ht="12" x14ac:dyDescent="0.2">
      <c r="B248" s="86"/>
      <c r="C248" s="38"/>
      <c r="E248" s="39"/>
      <c r="F248" s="39"/>
      <c r="G248" s="39"/>
      <c r="H248" s="39"/>
      <c r="I248" s="39"/>
      <c r="J248" s="39"/>
      <c r="K248" s="39"/>
      <c r="L248" s="39"/>
      <c r="M248" s="39"/>
    </row>
    <row r="249" spans="2:13" s="37" customFormat="1" ht="12" x14ac:dyDescent="0.2">
      <c r="B249" s="86"/>
      <c r="C249" s="38"/>
      <c r="E249" s="39"/>
      <c r="F249" s="39"/>
      <c r="G249" s="39"/>
      <c r="H249" s="39"/>
      <c r="I249" s="39"/>
      <c r="J249" s="39"/>
      <c r="K249" s="39"/>
      <c r="L249" s="39"/>
      <c r="M249" s="39"/>
    </row>
    <row r="250" spans="2:13" s="37" customFormat="1" ht="12" x14ac:dyDescent="0.2">
      <c r="B250" s="86"/>
      <c r="C250" s="38"/>
      <c r="E250" s="39"/>
      <c r="F250" s="39"/>
      <c r="G250" s="39"/>
      <c r="H250" s="39"/>
      <c r="I250" s="39"/>
      <c r="J250" s="39"/>
      <c r="K250" s="39"/>
      <c r="L250" s="39"/>
      <c r="M250" s="39"/>
    </row>
    <row r="251" spans="2:13" s="37" customFormat="1" ht="12" x14ac:dyDescent="0.2">
      <c r="B251" s="86"/>
      <c r="C251" s="38"/>
      <c r="E251" s="39"/>
      <c r="F251" s="39"/>
      <c r="G251" s="39"/>
      <c r="H251" s="39"/>
      <c r="I251" s="39"/>
      <c r="J251" s="39"/>
      <c r="K251" s="39"/>
      <c r="L251" s="39"/>
      <c r="M251" s="39"/>
    </row>
    <row r="252" spans="2:13" s="37" customFormat="1" ht="12" x14ac:dyDescent="0.2">
      <c r="B252" s="86"/>
      <c r="C252" s="38"/>
      <c r="E252" s="39"/>
      <c r="F252" s="39"/>
      <c r="G252" s="39"/>
      <c r="H252" s="39"/>
      <c r="I252" s="39"/>
      <c r="J252" s="39"/>
      <c r="K252" s="39"/>
      <c r="L252" s="39"/>
      <c r="M252" s="39"/>
    </row>
    <row r="253" spans="2:13" s="37" customFormat="1" ht="12" x14ac:dyDescent="0.2">
      <c r="B253" s="86"/>
      <c r="C253" s="38"/>
      <c r="E253" s="39"/>
      <c r="F253" s="39"/>
      <c r="G253" s="39"/>
      <c r="H253" s="39"/>
      <c r="I253" s="39"/>
      <c r="J253" s="39"/>
      <c r="K253" s="39"/>
      <c r="L253" s="39"/>
      <c r="M253" s="39"/>
    </row>
    <row r="254" spans="2:13" s="37" customFormat="1" ht="12" x14ac:dyDescent="0.2">
      <c r="B254" s="86"/>
      <c r="C254" s="38"/>
      <c r="E254" s="39"/>
      <c r="F254" s="39"/>
      <c r="G254" s="39"/>
      <c r="H254" s="39"/>
      <c r="I254" s="39"/>
      <c r="J254" s="39"/>
      <c r="K254" s="39"/>
      <c r="L254" s="39"/>
      <c r="M254" s="39"/>
    </row>
    <row r="255" spans="2:13" s="37" customFormat="1" ht="12" x14ac:dyDescent="0.2">
      <c r="B255" s="86"/>
      <c r="C255" s="38"/>
      <c r="E255" s="39"/>
      <c r="F255" s="39"/>
      <c r="G255" s="39"/>
      <c r="H255" s="39"/>
      <c r="I255" s="39"/>
      <c r="J255" s="39"/>
      <c r="K255" s="39"/>
      <c r="L255" s="39"/>
      <c r="M255" s="39"/>
    </row>
    <row r="256" spans="2:13" s="37" customFormat="1" ht="12" x14ac:dyDescent="0.2">
      <c r="B256" s="86"/>
      <c r="C256" s="38"/>
      <c r="E256" s="39"/>
      <c r="F256" s="39"/>
      <c r="G256" s="39"/>
      <c r="H256" s="39"/>
      <c r="I256" s="39"/>
      <c r="J256" s="39"/>
      <c r="K256" s="39"/>
      <c r="L256" s="39"/>
      <c r="M256" s="39"/>
    </row>
    <row r="257" spans="2:13" s="37" customFormat="1" ht="12" x14ac:dyDescent="0.2">
      <c r="B257" s="86"/>
      <c r="C257" s="38"/>
      <c r="E257" s="39"/>
      <c r="F257" s="39"/>
      <c r="G257" s="39"/>
      <c r="H257" s="39"/>
      <c r="I257" s="39"/>
      <c r="J257" s="39"/>
      <c r="K257" s="39"/>
      <c r="L257" s="39"/>
      <c r="M257" s="39"/>
    </row>
    <row r="258" spans="2:13" s="37" customFormat="1" ht="12" x14ac:dyDescent="0.2">
      <c r="B258" s="86"/>
      <c r="C258" s="38"/>
      <c r="E258" s="39"/>
      <c r="F258" s="39"/>
      <c r="G258" s="39"/>
      <c r="H258" s="39"/>
      <c r="I258" s="39"/>
      <c r="J258" s="39"/>
      <c r="K258" s="39"/>
      <c r="L258" s="39"/>
      <c r="M258" s="39"/>
    </row>
    <row r="259" spans="2:13" s="37" customFormat="1" ht="12" x14ac:dyDescent="0.2">
      <c r="B259" s="86"/>
      <c r="C259" s="38"/>
      <c r="E259" s="39"/>
      <c r="F259" s="39"/>
      <c r="G259" s="39"/>
      <c r="H259" s="39"/>
      <c r="I259" s="39"/>
      <c r="J259" s="39"/>
      <c r="K259" s="39"/>
      <c r="L259" s="39"/>
      <c r="M259" s="39"/>
    </row>
    <row r="260" spans="2:13" s="37" customFormat="1" ht="12" x14ac:dyDescent="0.2">
      <c r="B260" s="86"/>
      <c r="C260" s="38"/>
      <c r="E260" s="39"/>
      <c r="F260" s="39"/>
      <c r="G260" s="39"/>
      <c r="H260" s="39"/>
      <c r="I260" s="39"/>
      <c r="J260" s="39"/>
      <c r="K260" s="39"/>
      <c r="L260" s="39"/>
      <c r="M260" s="39"/>
    </row>
    <row r="261" spans="2:13" s="37" customFormat="1" ht="12" x14ac:dyDescent="0.2">
      <c r="B261" s="86"/>
      <c r="C261" s="38"/>
      <c r="E261" s="39"/>
      <c r="F261" s="39"/>
      <c r="G261" s="39"/>
      <c r="H261" s="39"/>
      <c r="I261" s="39"/>
      <c r="J261" s="39"/>
      <c r="K261" s="39"/>
      <c r="L261" s="39"/>
      <c r="M261" s="39"/>
    </row>
    <row r="262" spans="2:13" s="37" customFormat="1" ht="12" x14ac:dyDescent="0.2">
      <c r="B262" s="86"/>
      <c r="C262" s="38"/>
      <c r="E262" s="39"/>
      <c r="F262" s="39"/>
      <c r="G262" s="39"/>
      <c r="H262" s="39"/>
      <c r="I262" s="39"/>
      <c r="J262" s="39"/>
      <c r="K262" s="39"/>
      <c r="L262" s="39"/>
      <c r="M262" s="39"/>
    </row>
    <row r="263" spans="2:13" s="37" customFormat="1" ht="12" x14ac:dyDescent="0.2">
      <c r="B263" s="86"/>
      <c r="C263" s="38"/>
      <c r="E263" s="39"/>
      <c r="F263" s="39"/>
      <c r="G263" s="39"/>
      <c r="H263" s="39"/>
      <c r="I263" s="39"/>
      <c r="J263" s="39"/>
      <c r="K263" s="39"/>
      <c r="L263" s="39"/>
      <c r="M263" s="39"/>
    </row>
    <row r="264" spans="2:13" s="37" customFormat="1" ht="12" x14ac:dyDescent="0.2">
      <c r="B264" s="86"/>
      <c r="C264" s="38"/>
      <c r="E264" s="39"/>
      <c r="F264" s="39"/>
      <c r="G264" s="39"/>
      <c r="H264" s="39"/>
      <c r="I264" s="39"/>
      <c r="J264" s="39"/>
      <c r="K264" s="39"/>
      <c r="L264" s="39"/>
      <c r="M264" s="39"/>
    </row>
    <row r="265" spans="2:13" s="37" customFormat="1" ht="12" x14ac:dyDescent="0.2">
      <c r="B265" s="86"/>
      <c r="C265" s="38"/>
      <c r="E265" s="39"/>
      <c r="F265" s="39"/>
      <c r="G265" s="39"/>
      <c r="H265" s="39"/>
      <c r="I265" s="39"/>
      <c r="J265" s="39"/>
      <c r="K265" s="39"/>
      <c r="L265" s="39"/>
      <c r="M265" s="39"/>
    </row>
    <row r="266" spans="2:13" s="37" customFormat="1" ht="12" x14ac:dyDescent="0.2">
      <c r="B266" s="86"/>
      <c r="C266" s="38"/>
      <c r="E266" s="39"/>
      <c r="F266" s="39"/>
      <c r="G266" s="39"/>
      <c r="H266" s="39"/>
      <c r="I266" s="39"/>
      <c r="J266" s="39"/>
      <c r="K266" s="39"/>
      <c r="L266" s="39"/>
      <c r="M266" s="39"/>
    </row>
    <row r="267" spans="2:13" s="37" customFormat="1" ht="12" x14ac:dyDescent="0.2">
      <c r="B267" s="86"/>
      <c r="C267" s="38"/>
      <c r="E267" s="39"/>
      <c r="F267" s="39"/>
      <c r="G267" s="39"/>
      <c r="H267" s="39"/>
      <c r="I267" s="39"/>
      <c r="J267" s="39"/>
      <c r="K267" s="39"/>
      <c r="L267" s="39"/>
      <c r="M267" s="39"/>
    </row>
    <row r="268" spans="2:13" s="37" customFormat="1" ht="12" x14ac:dyDescent="0.2">
      <c r="B268" s="86"/>
      <c r="C268" s="38"/>
      <c r="E268" s="39"/>
      <c r="F268" s="39"/>
      <c r="G268" s="39"/>
      <c r="H268" s="39"/>
      <c r="I268" s="39"/>
      <c r="J268" s="39"/>
      <c r="K268" s="39"/>
      <c r="L268" s="39"/>
      <c r="M268" s="39"/>
    </row>
    <row r="269" spans="2:13" s="37" customFormat="1" ht="12" x14ac:dyDescent="0.2">
      <c r="B269" s="86"/>
      <c r="C269" s="38"/>
      <c r="E269" s="39"/>
      <c r="F269" s="39"/>
      <c r="G269" s="39"/>
      <c r="H269" s="39"/>
      <c r="I269" s="39"/>
      <c r="J269" s="39"/>
      <c r="K269" s="39"/>
      <c r="L269" s="39"/>
      <c r="M269" s="39"/>
    </row>
    <row r="270" spans="2:13" s="37" customFormat="1" ht="12" x14ac:dyDescent="0.2">
      <c r="B270" s="86"/>
      <c r="C270" s="38"/>
      <c r="E270" s="39"/>
      <c r="F270" s="39"/>
      <c r="G270" s="39"/>
      <c r="H270" s="39"/>
      <c r="I270" s="39"/>
      <c r="J270" s="39"/>
      <c r="K270" s="39"/>
      <c r="L270" s="39"/>
      <c r="M270" s="39"/>
    </row>
    <row r="271" spans="2:13" s="37" customFormat="1" ht="12" x14ac:dyDescent="0.2">
      <c r="B271" s="86"/>
      <c r="C271" s="38"/>
      <c r="E271" s="39"/>
      <c r="F271" s="39"/>
      <c r="G271" s="39"/>
      <c r="H271" s="39"/>
      <c r="I271" s="39"/>
      <c r="J271" s="39"/>
      <c r="K271" s="39"/>
      <c r="L271" s="39"/>
      <c r="M271" s="39"/>
    </row>
    <row r="272" spans="2:13" s="37" customFormat="1" ht="12" x14ac:dyDescent="0.2">
      <c r="B272" s="86"/>
      <c r="C272" s="38"/>
      <c r="E272" s="39"/>
      <c r="F272" s="39"/>
      <c r="G272" s="39"/>
      <c r="H272" s="39"/>
      <c r="I272" s="39"/>
      <c r="J272" s="39"/>
      <c r="K272" s="39"/>
      <c r="L272" s="39"/>
      <c r="M272" s="39"/>
    </row>
    <row r="273" spans="2:13" s="37" customFormat="1" ht="12" x14ac:dyDescent="0.2">
      <c r="B273" s="86"/>
      <c r="C273" s="38"/>
      <c r="E273" s="39"/>
      <c r="F273" s="39"/>
      <c r="G273" s="39"/>
      <c r="H273" s="39"/>
      <c r="I273" s="39"/>
      <c r="J273" s="39"/>
      <c r="K273" s="39"/>
      <c r="L273" s="39"/>
      <c r="M273" s="39"/>
    </row>
    <row r="274" spans="2:13" s="37" customFormat="1" ht="12" x14ac:dyDescent="0.2">
      <c r="B274" s="86"/>
      <c r="C274" s="38"/>
      <c r="E274" s="39"/>
      <c r="F274" s="39"/>
      <c r="G274" s="39"/>
      <c r="H274" s="39"/>
      <c r="I274" s="39"/>
      <c r="J274" s="39"/>
      <c r="K274" s="39"/>
      <c r="L274" s="39"/>
      <c r="M274" s="39"/>
    </row>
    <row r="275" spans="2:13" s="37" customFormat="1" ht="12" x14ac:dyDescent="0.2">
      <c r="B275" s="86"/>
      <c r="C275" s="38"/>
      <c r="E275" s="39"/>
      <c r="F275" s="39"/>
      <c r="G275" s="39"/>
      <c r="H275" s="39"/>
      <c r="I275" s="39"/>
      <c r="J275" s="39"/>
      <c r="K275" s="39"/>
      <c r="L275" s="39"/>
      <c r="M275" s="39"/>
    </row>
    <row r="276" spans="2:13" s="37" customFormat="1" ht="12" x14ac:dyDescent="0.2">
      <c r="B276" s="86"/>
      <c r="C276" s="38"/>
      <c r="E276" s="39"/>
      <c r="F276" s="39"/>
      <c r="G276" s="39"/>
      <c r="H276" s="39"/>
      <c r="I276" s="39"/>
      <c r="J276" s="39"/>
      <c r="K276" s="39"/>
      <c r="L276" s="39"/>
      <c r="M276" s="39"/>
    </row>
    <row r="277" spans="2:13" s="37" customFormat="1" ht="12" x14ac:dyDescent="0.2">
      <c r="B277" s="86"/>
      <c r="C277" s="38"/>
      <c r="E277" s="39"/>
      <c r="F277" s="39"/>
      <c r="G277" s="39"/>
      <c r="H277" s="39"/>
      <c r="I277" s="39"/>
      <c r="J277" s="39"/>
      <c r="K277" s="39"/>
      <c r="L277" s="39"/>
      <c r="M277" s="39"/>
    </row>
    <row r="278" spans="2:13" s="37" customFormat="1" ht="12" x14ac:dyDescent="0.2">
      <c r="B278" s="86"/>
      <c r="C278" s="38"/>
      <c r="E278" s="39"/>
      <c r="F278" s="39"/>
      <c r="G278" s="39"/>
      <c r="H278" s="39"/>
      <c r="I278" s="39"/>
      <c r="J278" s="39"/>
      <c r="K278" s="39"/>
      <c r="L278" s="39"/>
      <c r="M278" s="39"/>
    </row>
    <row r="279" spans="2:13" s="37" customFormat="1" ht="12" x14ac:dyDescent="0.2">
      <c r="B279" s="86"/>
      <c r="C279" s="38"/>
      <c r="E279" s="39"/>
      <c r="F279" s="39"/>
      <c r="G279" s="39"/>
      <c r="H279" s="39"/>
      <c r="I279" s="39"/>
      <c r="J279" s="39"/>
      <c r="K279" s="39"/>
      <c r="L279" s="39"/>
      <c r="M279" s="39"/>
    </row>
    <row r="280" spans="2:13" s="37" customFormat="1" ht="12" x14ac:dyDescent="0.2">
      <c r="B280" s="86"/>
      <c r="C280" s="38"/>
      <c r="E280" s="39"/>
      <c r="F280" s="39"/>
      <c r="G280" s="39"/>
      <c r="H280" s="39"/>
      <c r="I280" s="39"/>
      <c r="J280" s="39"/>
      <c r="K280" s="39"/>
      <c r="L280" s="39"/>
      <c r="M280" s="39"/>
    </row>
    <row r="281" spans="2:13" s="37" customFormat="1" ht="12" x14ac:dyDescent="0.2">
      <c r="B281" s="86"/>
      <c r="C281" s="38"/>
      <c r="E281" s="39"/>
      <c r="F281" s="39"/>
      <c r="G281" s="39"/>
      <c r="H281" s="39"/>
      <c r="I281" s="39"/>
      <c r="J281" s="39"/>
      <c r="K281" s="39"/>
      <c r="L281" s="39"/>
      <c r="M281" s="39"/>
    </row>
    <row r="282" spans="2:13" s="37" customFormat="1" ht="12" x14ac:dyDescent="0.2">
      <c r="B282" s="86"/>
      <c r="C282" s="38"/>
      <c r="E282" s="39"/>
      <c r="F282" s="39"/>
      <c r="G282" s="39"/>
      <c r="H282" s="39"/>
      <c r="I282" s="39"/>
      <c r="J282" s="39"/>
      <c r="K282" s="39"/>
      <c r="L282" s="39"/>
      <c r="M282" s="39"/>
    </row>
    <row r="283" spans="2:13" s="37" customFormat="1" ht="12" x14ac:dyDescent="0.2">
      <c r="B283" s="86"/>
      <c r="C283" s="38"/>
      <c r="E283" s="39"/>
      <c r="F283" s="39"/>
      <c r="G283" s="39"/>
      <c r="H283" s="39"/>
      <c r="I283" s="39"/>
      <c r="J283" s="39"/>
      <c r="K283" s="39"/>
      <c r="L283" s="39"/>
      <c r="M283" s="39"/>
    </row>
    <row r="284" spans="2:13" s="37" customFormat="1" ht="12" x14ac:dyDescent="0.2">
      <c r="B284" s="86"/>
      <c r="C284" s="38"/>
      <c r="E284" s="39"/>
      <c r="F284" s="39"/>
      <c r="G284" s="39"/>
      <c r="H284" s="39"/>
      <c r="I284" s="39"/>
      <c r="J284" s="39"/>
      <c r="K284" s="39"/>
      <c r="L284" s="39"/>
      <c r="M284" s="39"/>
    </row>
    <row r="285" spans="2:13" s="37" customFormat="1" ht="12" x14ac:dyDescent="0.2">
      <c r="B285" s="86"/>
      <c r="C285" s="38"/>
      <c r="E285" s="39"/>
      <c r="F285" s="39"/>
      <c r="G285" s="39"/>
      <c r="H285" s="39"/>
      <c r="I285" s="39"/>
      <c r="J285" s="39"/>
      <c r="K285" s="39"/>
      <c r="L285" s="39"/>
      <c r="M285" s="39"/>
    </row>
    <row r="286" spans="2:13" s="37" customFormat="1" ht="12" x14ac:dyDescent="0.2">
      <c r="B286" s="86"/>
      <c r="C286" s="38"/>
      <c r="E286" s="39"/>
      <c r="F286" s="39"/>
      <c r="G286" s="39"/>
      <c r="H286" s="39"/>
      <c r="I286" s="39"/>
      <c r="J286" s="39"/>
      <c r="K286" s="39"/>
      <c r="L286" s="39"/>
      <c r="M286" s="39"/>
    </row>
    <row r="287" spans="2:13" s="37" customFormat="1" ht="12" x14ac:dyDescent="0.2">
      <c r="B287" s="86"/>
      <c r="C287" s="38"/>
      <c r="E287" s="39"/>
      <c r="F287" s="39"/>
      <c r="G287" s="39"/>
      <c r="H287" s="39"/>
      <c r="I287" s="39"/>
      <c r="J287" s="39"/>
      <c r="K287" s="39"/>
      <c r="L287" s="39"/>
      <c r="M287" s="39"/>
    </row>
    <row r="288" spans="2:13" x14ac:dyDescent="0.25">
      <c r="E288" s="22"/>
      <c r="F288" s="22"/>
      <c r="G288" s="22"/>
      <c r="H288" s="22"/>
      <c r="I288" s="22"/>
      <c r="J288" s="22"/>
      <c r="K288" s="22"/>
      <c r="L288" s="22"/>
      <c r="M288" s="22"/>
    </row>
  </sheetData>
  <sheetProtection algorithmName="SHA-512" hashValue="1L6Gw0S4CbYO5P2lDoDBsqv3oUXItCLgFbp0nm9BZIJ6ATFc49dcZ3p7ziuD+ZmgD3yRNNeKKRo2xAfmzd6MOw==" saltValue="GgQdmoQAEHMjILlrVJOxSQ==" spinCount="100000" sheet="1" objects="1" scenarios="1" selectLockedCells="1"/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/>
  </sheetPr>
  <dimension ref="A1:AR253"/>
  <sheetViews>
    <sheetView topLeftCell="A19" workbookViewId="0"/>
  </sheetViews>
  <sheetFormatPr defaultColWidth="8.85546875" defaultRowHeight="15" x14ac:dyDescent="0.25"/>
  <cols>
    <col min="1" max="2" width="3.140625" style="14" customWidth="1"/>
    <col min="3" max="3" width="7.85546875" style="20" customWidth="1"/>
    <col min="4" max="4" width="38.28515625" style="14" bestFit="1" customWidth="1"/>
    <col min="5" max="5" width="9.85546875" style="14" bestFit="1" customWidth="1"/>
    <col min="6" max="6" width="10.42578125" style="14" bestFit="1" customWidth="1"/>
    <col min="7" max="9" width="0" style="14" hidden="1" customWidth="1"/>
    <col min="10" max="10" width="8.85546875" style="14"/>
    <col min="11" max="12" width="0" style="14" hidden="1" customWidth="1"/>
    <col min="13" max="16" width="8.85546875" style="14"/>
    <col min="17" max="18" width="8.85546875" style="14" customWidth="1"/>
    <col min="19" max="24" width="8.85546875" style="14"/>
    <col min="25" max="26" width="0" style="14" hidden="1" customWidth="1"/>
    <col min="27" max="34" width="8.85546875" style="14" hidden="1" customWidth="1"/>
    <col min="35" max="40" width="8.85546875" style="14" customWidth="1"/>
    <col min="41" max="41" width="2.140625" style="28" customWidth="1"/>
    <col min="42" max="42" width="8.85546875" style="21"/>
    <col min="43" max="43" width="2.140625" style="28" customWidth="1"/>
    <col min="44" max="44" width="10.140625" style="259" bestFit="1" customWidth="1"/>
    <col min="45" max="16384" width="8.85546875" style="14"/>
  </cols>
  <sheetData>
    <row r="1" spans="1:44" s="1" customFormat="1" ht="21" x14ac:dyDescent="0.35">
      <c r="A1" s="11" t="str">
        <f>'Rev &amp; Enroll'!$F$5</f>
        <v>Nevada State High School (CSO)</v>
      </c>
      <c r="B1" s="11"/>
      <c r="C1" s="17"/>
      <c r="E1" s="2"/>
      <c r="F1" s="3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4"/>
      <c r="AP1" s="3"/>
      <c r="AQ1" s="24"/>
      <c r="AR1" s="255"/>
    </row>
    <row r="2" spans="1:44" s="1" customFormat="1" x14ac:dyDescent="0.25">
      <c r="A2" s="12" t="str">
        <f>CONCATENATE("Budget", " ",'Rev &amp; Enroll'!F7," ","by Function-Grant")</f>
        <v>Budget FY21 by Function-Grant</v>
      </c>
      <c r="B2" s="12"/>
      <c r="C2" s="17"/>
      <c r="D2" s="13"/>
      <c r="E2" s="2"/>
      <c r="F2" s="2"/>
      <c r="G2" s="2"/>
      <c r="H2" s="2"/>
      <c r="AO2" s="25"/>
      <c r="AP2" s="2"/>
      <c r="AQ2" s="29"/>
      <c r="AR2" s="255"/>
    </row>
    <row r="3" spans="1:44" s="6" customFormat="1" ht="13.5" customHeight="1" x14ac:dyDescent="0.2">
      <c r="A3" s="5" t="str">
        <f>'FY21'!A3</f>
        <v>Board Approved: Proposed: 4/16/2020</v>
      </c>
      <c r="B3" s="5"/>
      <c r="C3" s="1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25"/>
      <c r="AP3" s="7"/>
      <c r="AQ3" s="30"/>
      <c r="AR3" s="256"/>
    </row>
    <row r="4" spans="1:44" s="9" customFormat="1" ht="24" x14ac:dyDescent="0.25">
      <c r="C4" s="19"/>
      <c r="D4" s="10"/>
      <c r="E4" s="222" t="s">
        <v>258</v>
      </c>
      <c r="F4" s="222" t="s">
        <v>259</v>
      </c>
      <c r="G4" s="222" t="s">
        <v>260</v>
      </c>
      <c r="H4" s="222" t="s">
        <v>261</v>
      </c>
      <c r="I4" s="222" t="s">
        <v>262</v>
      </c>
      <c r="J4" s="222" t="s">
        <v>263</v>
      </c>
      <c r="K4" s="222" t="s">
        <v>264</v>
      </c>
      <c r="L4" s="222" t="s">
        <v>265</v>
      </c>
      <c r="M4" s="222" t="s">
        <v>266</v>
      </c>
      <c r="N4" s="222" t="s">
        <v>267</v>
      </c>
      <c r="O4" s="222" t="s">
        <v>268</v>
      </c>
      <c r="P4" s="222" t="s">
        <v>323</v>
      </c>
      <c r="Q4" s="222" t="s">
        <v>269</v>
      </c>
      <c r="R4" s="222" t="s">
        <v>270</v>
      </c>
      <c r="S4" s="222" t="s">
        <v>271</v>
      </c>
      <c r="T4" s="222" t="s">
        <v>272</v>
      </c>
      <c r="U4" s="222" t="s">
        <v>273</v>
      </c>
      <c r="V4" s="222" t="s">
        <v>274</v>
      </c>
      <c r="W4" s="222" t="s">
        <v>275</v>
      </c>
      <c r="X4" s="222" t="s">
        <v>276</v>
      </c>
      <c r="Y4" s="222" t="s">
        <v>277</v>
      </c>
      <c r="Z4" s="222" t="s">
        <v>278</v>
      </c>
      <c r="AA4" s="222" t="s">
        <v>279</v>
      </c>
      <c r="AB4" s="222" t="s">
        <v>280</v>
      </c>
      <c r="AC4" s="222" t="s">
        <v>281</v>
      </c>
      <c r="AD4" s="222" t="s">
        <v>282</v>
      </c>
      <c r="AE4" s="222" t="s">
        <v>283</v>
      </c>
      <c r="AF4" s="222" t="s">
        <v>284</v>
      </c>
      <c r="AG4" s="222" t="s">
        <v>285</v>
      </c>
      <c r="AH4" s="222" t="s">
        <v>286</v>
      </c>
      <c r="AI4" s="222" t="s">
        <v>287</v>
      </c>
      <c r="AJ4" s="222" t="s">
        <v>288</v>
      </c>
      <c r="AK4" s="222" t="s">
        <v>573</v>
      </c>
      <c r="AL4" s="222" t="s">
        <v>289</v>
      </c>
      <c r="AM4" s="222" t="s">
        <v>618</v>
      </c>
      <c r="AN4" s="222" t="s">
        <v>290</v>
      </c>
      <c r="AO4" s="26"/>
      <c r="AP4" s="58" t="s">
        <v>55</v>
      </c>
      <c r="AQ4" s="26"/>
      <c r="AR4" s="257" t="s">
        <v>292</v>
      </c>
    </row>
    <row r="5" spans="1:44" s="9" customFormat="1" ht="12" x14ac:dyDescent="0.2">
      <c r="C5" s="19"/>
      <c r="D5" s="207"/>
      <c r="E5" s="39">
        <v>3</v>
      </c>
      <c r="F5" s="39">
        <v>4</v>
      </c>
      <c r="G5" s="39">
        <v>5</v>
      </c>
      <c r="H5" s="39">
        <v>6</v>
      </c>
      <c r="I5" s="39">
        <v>7</v>
      </c>
      <c r="J5" s="39">
        <v>8</v>
      </c>
      <c r="K5" s="39">
        <v>9</v>
      </c>
      <c r="L5" s="39">
        <v>10</v>
      </c>
      <c r="M5" s="39">
        <v>11</v>
      </c>
      <c r="N5" s="39">
        <v>12</v>
      </c>
      <c r="O5" s="39">
        <v>13</v>
      </c>
      <c r="P5" s="39">
        <v>14</v>
      </c>
      <c r="Q5" s="39">
        <v>15</v>
      </c>
      <c r="R5" s="39">
        <v>16</v>
      </c>
      <c r="S5" s="39">
        <v>17</v>
      </c>
      <c r="T5" s="39">
        <v>18</v>
      </c>
      <c r="U5" s="39">
        <v>19</v>
      </c>
      <c r="V5" s="39">
        <v>20</v>
      </c>
      <c r="W5" s="39">
        <v>21</v>
      </c>
      <c r="X5" s="39">
        <v>22</v>
      </c>
      <c r="Y5" s="39">
        <v>23</v>
      </c>
      <c r="Z5" s="39">
        <v>24</v>
      </c>
      <c r="AA5" s="39">
        <v>25</v>
      </c>
      <c r="AB5" s="39">
        <v>26</v>
      </c>
      <c r="AC5" s="39">
        <v>27</v>
      </c>
      <c r="AD5" s="39">
        <v>28</v>
      </c>
      <c r="AE5" s="39">
        <v>29</v>
      </c>
      <c r="AF5" s="39">
        <v>30</v>
      </c>
      <c r="AG5" s="39">
        <v>31</v>
      </c>
      <c r="AH5" s="39">
        <v>32</v>
      </c>
      <c r="AI5" s="39">
        <v>33</v>
      </c>
      <c r="AJ5" s="39">
        <v>34</v>
      </c>
      <c r="AK5" s="39">
        <v>35</v>
      </c>
      <c r="AL5" s="39">
        <v>36</v>
      </c>
      <c r="AM5" s="39">
        <v>37</v>
      </c>
      <c r="AN5" s="39">
        <v>38</v>
      </c>
      <c r="AO5" s="41"/>
      <c r="AP5" s="59"/>
      <c r="AQ5" s="41"/>
      <c r="AR5" s="257"/>
    </row>
    <row r="6" spans="1:44" s="37" customFormat="1" ht="12" x14ac:dyDescent="0.2">
      <c r="A6" s="45" t="s">
        <v>58</v>
      </c>
      <c r="C6" s="38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41"/>
      <c r="AP6" s="59"/>
      <c r="AQ6" s="41"/>
      <c r="AR6" s="258"/>
    </row>
    <row r="7" spans="1:44" s="37" customFormat="1" ht="12" x14ac:dyDescent="0.2">
      <c r="A7" s="45"/>
      <c r="C7" s="49" t="s">
        <v>171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41"/>
      <c r="AP7" s="59"/>
      <c r="AQ7" s="41"/>
      <c r="AR7" s="258"/>
    </row>
    <row r="8" spans="1:44" s="37" customFormat="1" ht="12" x14ac:dyDescent="0.2">
      <c r="A8" s="45"/>
      <c r="C8" s="199">
        <v>1110</v>
      </c>
      <c r="D8" s="37" t="s">
        <v>0</v>
      </c>
      <c r="E8" s="369">
        <f>'FY21'!S8</f>
        <v>475578.57473280001</v>
      </c>
      <c r="F8" s="180">
        <v>0</v>
      </c>
      <c r="G8" s="180">
        <v>0</v>
      </c>
      <c r="H8" s="180">
        <v>0</v>
      </c>
      <c r="I8" s="180">
        <v>0</v>
      </c>
      <c r="J8" s="180">
        <v>0</v>
      </c>
      <c r="K8" s="180">
        <v>0</v>
      </c>
      <c r="L8" s="180">
        <v>0</v>
      </c>
      <c r="M8" s="180">
        <v>0</v>
      </c>
      <c r="N8" s="180">
        <v>0</v>
      </c>
      <c r="O8" s="180">
        <v>0</v>
      </c>
      <c r="P8" s="180">
        <v>0</v>
      </c>
      <c r="Q8" s="180">
        <v>0</v>
      </c>
      <c r="R8" s="180">
        <v>0</v>
      </c>
      <c r="S8" s="180">
        <v>0</v>
      </c>
      <c r="T8" s="180">
        <v>0</v>
      </c>
      <c r="U8" s="180">
        <v>0</v>
      </c>
      <c r="V8" s="180">
        <v>0</v>
      </c>
      <c r="W8" s="180">
        <v>0</v>
      </c>
      <c r="X8" s="180">
        <v>0</v>
      </c>
      <c r="Y8" s="180">
        <v>0</v>
      </c>
      <c r="Z8" s="180">
        <v>0</v>
      </c>
      <c r="AA8" s="180">
        <v>0</v>
      </c>
      <c r="AB8" s="180">
        <v>0</v>
      </c>
      <c r="AC8" s="180">
        <v>0</v>
      </c>
      <c r="AD8" s="180">
        <v>0</v>
      </c>
      <c r="AE8" s="180">
        <v>0</v>
      </c>
      <c r="AF8" s="180">
        <v>0</v>
      </c>
      <c r="AG8" s="180">
        <v>0</v>
      </c>
      <c r="AH8" s="180">
        <v>0</v>
      </c>
      <c r="AI8" s="180">
        <v>0</v>
      </c>
      <c r="AJ8" s="180">
        <v>0</v>
      </c>
      <c r="AK8" s="180">
        <v>0</v>
      </c>
      <c r="AL8" s="180">
        <v>0</v>
      </c>
      <c r="AM8" s="180">
        <v>0</v>
      </c>
      <c r="AN8" s="180">
        <v>0</v>
      </c>
      <c r="AO8" s="186"/>
      <c r="AP8" s="187">
        <f>SUM(E8:AO8)</f>
        <v>475578.57473280001</v>
      </c>
      <c r="AQ8" s="186"/>
      <c r="AR8" s="258">
        <f>AP8-'FY21'!S8</f>
        <v>0</v>
      </c>
    </row>
    <row r="9" spans="1:44" s="37" customFormat="1" ht="12" x14ac:dyDescent="0.2">
      <c r="A9" s="45"/>
      <c r="C9" s="199">
        <v>1120</v>
      </c>
      <c r="D9" s="37" t="s">
        <v>1</v>
      </c>
      <c r="E9" s="370">
        <f>'FY21'!S9</f>
        <v>522415.85860799992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39">
        <v>0</v>
      </c>
      <c r="AD9" s="39">
        <v>0</v>
      </c>
      <c r="AE9" s="39">
        <v>0</v>
      </c>
      <c r="AF9" s="39">
        <v>0</v>
      </c>
      <c r="AG9" s="39">
        <v>0</v>
      </c>
      <c r="AH9" s="39">
        <v>0</v>
      </c>
      <c r="AI9" s="39">
        <v>0</v>
      </c>
      <c r="AJ9" s="39">
        <v>0</v>
      </c>
      <c r="AK9" s="39">
        <v>0</v>
      </c>
      <c r="AL9" s="39">
        <v>0</v>
      </c>
      <c r="AM9" s="39">
        <v>0</v>
      </c>
      <c r="AN9" s="39">
        <v>0</v>
      </c>
      <c r="AO9" s="41"/>
      <c r="AP9" s="59">
        <f>SUM(E9:AO9)</f>
        <v>522415.85860799992</v>
      </c>
      <c r="AQ9" s="41"/>
      <c r="AR9" s="258">
        <f>AP9-'FY21'!S9</f>
        <v>0</v>
      </c>
    </row>
    <row r="10" spans="1:44" s="37" customFormat="1" ht="12" x14ac:dyDescent="0.2">
      <c r="A10" s="45"/>
      <c r="C10" s="199">
        <v>1191</v>
      </c>
      <c r="D10" s="37" t="s">
        <v>2</v>
      </c>
      <c r="E10" s="370">
        <f>'FY21'!S10</f>
        <v>1801.4339951999998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0</v>
      </c>
      <c r="AE10" s="39">
        <v>0</v>
      </c>
      <c r="AF10" s="39">
        <v>0</v>
      </c>
      <c r="AG10" s="39">
        <v>0</v>
      </c>
      <c r="AH10" s="39">
        <v>0</v>
      </c>
      <c r="AI10" s="39">
        <v>0</v>
      </c>
      <c r="AJ10" s="39">
        <v>0</v>
      </c>
      <c r="AK10" s="39">
        <v>0</v>
      </c>
      <c r="AL10" s="39">
        <v>0</v>
      </c>
      <c r="AM10" s="39">
        <v>0</v>
      </c>
      <c r="AN10" s="39">
        <v>0</v>
      </c>
      <c r="AO10" s="41"/>
      <c r="AP10" s="59">
        <f>SUM(E10:AO10)</f>
        <v>1801.4339951999998</v>
      </c>
      <c r="AQ10" s="41"/>
      <c r="AR10" s="258">
        <f>AP10-'FY21'!S10</f>
        <v>0</v>
      </c>
    </row>
    <row r="11" spans="1:44" s="37" customFormat="1" ht="12" x14ac:dyDescent="0.2">
      <c r="A11" s="45"/>
      <c r="C11" s="199">
        <v>1192</v>
      </c>
      <c r="D11" s="37" t="s">
        <v>3</v>
      </c>
      <c r="E11" s="370">
        <f>'FY21'!S11</f>
        <v>55844.453851200007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0</v>
      </c>
      <c r="AD11" s="39">
        <v>0</v>
      </c>
      <c r="AE11" s="39">
        <v>0</v>
      </c>
      <c r="AF11" s="39">
        <v>0</v>
      </c>
      <c r="AG11" s="39">
        <v>0</v>
      </c>
      <c r="AH11" s="39">
        <v>0</v>
      </c>
      <c r="AI11" s="39">
        <v>0</v>
      </c>
      <c r="AJ11" s="39">
        <v>0</v>
      </c>
      <c r="AK11" s="39">
        <v>0</v>
      </c>
      <c r="AL11" s="39">
        <v>0</v>
      </c>
      <c r="AM11" s="39">
        <v>0</v>
      </c>
      <c r="AN11" s="39">
        <v>0</v>
      </c>
      <c r="AO11" s="41"/>
      <c r="AP11" s="59">
        <f>SUM(E11:AO11)</f>
        <v>55844.453851200007</v>
      </c>
      <c r="AQ11" s="41"/>
      <c r="AR11" s="258">
        <f>AP11-'FY21'!S11</f>
        <v>0</v>
      </c>
    </row>
    <row r="12" spans="1:44" s="37" customFormat="1" ht="12" x14ac:dyDescent="0.2">
      <c r="A12" s="45"/>
      <c r="C12" s="199">
        <v>3110</v>
      </c>
      <c r="D12" s="37" t="s">
        <v>73</v>
      </c>
      <c r="E12" s="370">
        <f>'FY21'!S12</f>
        <v>745793.67401279975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39">
        <v>0</v>
      </c>
      <c r="AG12" s="39">
        <v>0</v>
      </c>
      <c r="AH12" s="39">
        <v>0</v>
      </c>
      <c r="AI12" s="39">
        <v>0</v>
      </c>
      <c r="AJ12" s="39">
        <v>0</v>
      </c>
      <c r="AK12" s="39">
        <v>0</v>
      </c>
      <c r="AL12" s="39">
        <v>0</v>
      </c>
      <c r="AM12" s="39">
        <v>0</v>
      </c>
      <c r="AN12" s="39">
        <v>0</v>
      </c>
      <c r="AO12" s="41"/>
      <c r="AP12" s="59">
        <f>SUM(E12:AO12)</f>
        <v>745793.67401279975</v>
      </c>
      <c r="AQ12" s="41"/>
      <c r="AR12" s="258">
        <f>AP12-'FY21'!S12</f>
        <v>0</v>
      </c>
    </row>
    <row r="13" spans="1:44" s="37" customFormat="1" ht="12" x14ac:dyDescent="0.2">
      <c r="A13" s="45"/>
      <c r="C13" s="38"/>
      <c r="E13" s="50">
        <f t="shared" ref="E13:AN13" si="0">SUBTOTAL(9,E8:E12)</f>
        <v>1801433.9951999998</v>
      </c>
      <c r="F13" s="50">
        <f>SUBTOTAL(9,F8:F12)</f>
        <v>0</v>
      </c>
      <c r="G13" s="50">
        <f>SUBTOTAL(9,G8:G12)</f>
        <v>0</v>
      </c>
      <c r="H13" s="50">
        <f t="shared" si="0"/>
        <v>0</v>
      </c>
      <c r="I13" s="50">
        <f t="shared" si="0"/>
        <v>0</v>
      </c>
      <c r="J13" s="50">
        <f t="shared" si="0"/>
        <v>0</v>
      </c>
      <c r="K13" s="50">
        <f t="shared" si="0"/>
        <v>0</v>
      </c>
      <c r="L13" s="50">
        <f t="shared" si="0"/>
        <v>0</v>
      </c>
      <c r="M13" s="50">
        <f t="shared" si="0"/>
        <v>0</v>
      </c>
      <c r="N13" s="50">
        <f t="shared" si="0"/>
        <v>0</v>
      </c>
      <c r="O13" s="50">
        <f t="shared" si="0"/>
        <v>0</v>
      </c>
      <c r="P13" s="50">
        <f t="shared" ref="P13" si="1">SUBTOTAL(9,P8:P12)</f>
        <v>0</v>
      </c>
      <c r="Q13" s="50">
        <f t="shared" si="0"/>
        <v>0</v>
      </c>
      <c r="R13" s="50">
        <f t="shared" ref="R13:AG13" si="2">SUBTOTAL(9,R8:R12)</f>
        <v>0</v>
      </c>
      <c r="S13" s="50">
        <f t="shared" si="2"/>
        <v>0</v>
      </c>
      <c r="T13" s="50">
        <f t="shared" si="2"/>
        <v>0</v>
      </c>
      <c r="U13" s="50">
        <f t="shared" si="2"/>
        <v>0</v>
      </c>
      <c r="V13" s="50">
        <f t="shared" si="2"/>
        <v>0</v>
      </c>
      <c r="W13" s="50">
        <f t="shared" si="2"/>
        <v>0</v>
      </c>
      <c r="X13" s="50">
        <f t="shared" si="2"/>
        <v>0</v>
      </c>
      <c r="Y13" s="50">
        <f t="shared" si="2"/>
        <v>0</v>
      </c>
      <c r="Z13" s="50">
        <f t="shared" si="2"/>
        <v>0</v>
      </c>
      <c r="AA13" s="50">
        <f t="shared" si="2"/>
        <v>0</v>
      </c>
      <c r="AB13" s="50">
        <f t="shared" si="2"/>
        <v>0</v>
      </c>
      <c r="AC13" s="50">
        <f t="shared" si="2"/>
        <v>0</v>
      </c>
      <c r="AD13" s="50">
        <f t="shared" si="2"/>
        <v>0</v>
      </c>
      <c r="AE13" s="50">
        <f t="shared" si="2"/>
        <v>0</v>
      </c>
      <c r="AF13" s="50">
        <f t="shared" si="2"/>
        <v>0</v>
      </c>
      <c r="AG13" s="50">
        <f t="shared" si="2"/>
        <v>0</v>
      </c>
      <c r="AH13" s="50">
        <f t="shared" si="0"/>
        <v>0</v>
      </c>
      <c r="AI13" s="50">
        <f t="shared" si="0"/>
        <v>0</v>
      </c>
      <c r="AJ13" s="50">
        <f t="shared" si="0"/>
        <v>0</v>
      </c>
      <c r="AK13" s="50">
        <f t="shared" ref="AK13" si="3">SUBTOTAL(9,AK8:AK12)</f>
        <v>0</v>
      </c>
      <c r="AL13" s="50">
        <f t="shared" si="0"/>
        <v>0</v>
      </c>
      <c r="AM13" s="50">
        <f t="shared" ref="AM13" si="4">SUBTOTAL(9,AM8:AM12)</f>
        <v>0</v>
      </c>
      <c r="AN13" s="50">
        <f t="shared" si="0"/>
        <v>0</v>
      </c>
      <c r="AO13" s="41"/>
      <c r="AP13" s="61">
        <f>SUBTOTAL(9,AP8:AP12)</f>
        <v>1801433.9951999998</v>
      </c>
      <c r="AQ13" s="41"/>
      <c r="AR13" s="258">
        <f>AP13-'FY21'!S13</f>
        <v>0</v>
      </c>
    </row>
    <row r="14" spans="1:44" s="37" customFormat="1" ht="12" x14ac:dyDescent="0.2">
      <c r="A14" s="45"/>
      <c r="C14" s="49" t="s">
        <v>170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41"/>
      <c r="AP14" s="59"/>
      <c r="AQ14" s="41"/>
      <c r="AR14" s="258">
        <f>AP14-'FY21'!S14</f>
        <v>0</v>
      </c>
    </row>
    <row r="15" spans="1:44" s="37" customFormat="1" ht="12" x14ac:dyDescent="0.2">
      <c r="A15" s="45"/>
      <c r="C15" s="199">
        <v>3115</v>
      </c>
      <c r="D15" s="37" t="s">
        <v>5</v>
      </c>
      <c r="E15" s="370">
        <f>'FY21'!S15</f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  <c r="AE15" s="39">
        <v>0</v>
      </c>
      <c r="AF15" s="39">
        <v>0</v>
      </c>
      <c r="AG15" s="39">
        <v>0</v>
      </c>
      <c r="AH15" s="39">
        <v>0</v>
      </c>
      <c r="AI15" s="39">
        <v>0</v>
      </c>
      <c r="AJ15" s="39">
        <v>0</v>
      </c>
      <c r="AK15" s="39">
        <v>0</v>
      </c>
      <c r="AL15" s="39">
        <v>0</v>
      </c>
      <c r="AM15" s="39">
        <v>0</v>
      </c>
      <c r="AN15" s="39">
        <v>0</v>
      </c>
      <c r="AO15" s="41"/>
      <c r="AP15" s="59">
        <f>SUM(E15:AO15)</f>
        <v>0</v>
      </c>
      <c r="AQ15" s="41"/>
      <c r="AR15" s="258">
        <f>AP15-'FY21'!S15</f>
        <v>0</v>
      </c>
    </row>
    <row r="16" spans="1:44" s="37" customFormat="1" ht="12" x14ac:dyDescent="0.2">
      <c r="A16" s="45" t="s">
        <v>354</v>
      </c>
      <c r="C16" s="199">
        <v>3200</v>
      </c>
      <c r="D16" s="37" t="s">
        <v>6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70">
        <f>+'Rev &amp; Enroll'!F49</f>
        <v>0</v>
      </c>
      <c r="Z16" s="370">
        <v>0</v>
      </c>
      <c r="AA16" s="370">
        <f>+'Rev &amp; Enroll'!F52</f>
        <v>0</v>
      </c>
      <c r="AB16" s="39">
        <v>0</v>
      </c>
      <c r="AC16" s="39">
        <v>0</v>
      </c>
      <c r="AD16" s="39">
        <v>0</v>
      </c>
      <c r="AE16" s="39">
        <v>0</v>
      </c>
      <c r="AF16" s="39">
        <v>0</v>
      </c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39">
        <v>0</v>
      </c>
      <c r="AN16" s="39">
        <v>0</v>
      </c>
      <c r="AO16" s="41"/>
      <c r="AP16" s="59">
        <f>SUM(E16:AO16)</f>
        <v>0</v>
      </c>
      <c r="AQ16" s="41"/>
      <c r="AR16" s="258">
        <f>AP16-'FY21'!S16</f>
        <v>0</v>
      </c>
    </row>
    <row r="17" spans="1:44" s="37" customFormat="1" ht="12" x14ac:dyDescent="0.2">
      <c r="A17" s="45"/>
      <c r="C17" s="38"/>
      <c r="E17" s="50">
        <f t="shared" ref="E17:AP17" si="5">SUBTOTAL(9,E15:E16)</f>
        <v>0</v>
      </c>
      <c r="F17" s="50">
        <f>SUBTOTAL(9,F15:F16)</f>
        <v>0</v>
      </c>
      <c r="G17" s="50">
        <f>SUBTOTAL(9,G15:G16)</f>
        <v>0</v>
      </c>
      <c r="H17" s="50">
        <f t="shared" si="5"/>
        <v>0</v>
      </c>
      <c r="I17" s="50">
        <f t="shared" si="5"/>
        <v>0</v>
      </c>
      <c r="J17" s="50">
        <f t="shared" si="5"/>
        <v>0</v>
      </c>
      <c r="K17" s="50">
        <f t="shared" si="5"/>
        <v>0</v>
      </c>
      <c r="L17" s="50">
        <f t="shared" si="5"/>
        <v>0</v>
      </c>
      <c r="M17" s="50">
        <f t="shared" si="5"/>
        <v>0</v>
      </c>
      <c r="N17" s="50">
        <f t="shared" si="5"/>
        <v>0</v>
      </c>
      <c r="O17" s="50">
        <f t="shared" si="5"/>
        <v>0</v>
      </c>
      <c r="P17" s="50">
        <f t="shared" ref="P17" si="6">SUBTOTAL(9,P15:P16)</f>
        <v>0</v>
      </c>
      <c r="Q17" s="50">
        <f t="shared" si="5"/>
        <v>0</v>
      </c>
      <c r="R17" s="50">
        <f t="shared" ref="R17:AG17" si="7">SUBTOTAL(9,R15:R16)</f>
        <v>0</v>
      </c>
      <c r="S17" s="50">
        <f t="shared" si="7"/>
        <v>0</v>
      </c>
      <c r="T17" s="50">
        <f t="shared" si="7"/>
        <v>0</v>
      </c>
      <c r="U17" s="50">
        <f t="shared" si="7"/>
        <v>0</v>
      </c>
      <c r="V17" s="50">
        <f t="shared" si="7"/>
        <v>0</v>
      </c>
      <c r="W17" s="50">
        <f t="shared" si="7"/>
        <v>0</v>
      </c>
      <c r="X17" s="50">
        <f t="shared" si="7"/>
        <v>0</v>
      </c>
      <c r="Y17" s="50">
        <f t="shared" si="7"/>
        <v>0</v>
      </c>
      <c r="Z17" s="50">
        <f t="shared" si="7"/>
        <v>0</v>
      </c>
      <c r="AA17" s="50">
        <f t="shared" si="7"/>
        <v>0</v>
      </c>
      <c r="AB17" s="50">
        <f t="shared" si="7"/>
        <v>0</v>
      </c>
      <c r="AC17" s="50">
        <f t="shared" si="7"/>
        <v>0</v>
      </c>
      <c r="AD17" s="50">
        <f t="shared" si="7"/>
        <v>0</v>
      </c>
      <c r="AE17" s="50">
        <f t="shared" si="7"/>
        <v>0</v>
      </c>
      <c r="AF17" s="50">
        <f t="shared" si="7"/>
        <v>0</v>
      </c>
      <c r="AG17" s="50">
        <f t="shared" si="7"/>
        <v>0</v>
      </c>
      <c r="AH17" s="50">
        <f t="shared" si="5"/>
        <v>0</v>
      </c>
      <c r="AI17" s="50">
        <f t="shared" si="5"/>
        <v>0</v>
      </c>
      <c r="AJ17" s="50">
        <f t="shared" si="5"/>
        <v>0</v>
      </c>
      <c r="AK17" s="50">
        <f t="shared" ref="AK17" si="8">SUBTOTAL(9,AK15:AK16)</f>
        <v>0</v>
      </c>
      <c r="AL17" s="50">
        <f t="shared" si="5"/>
        <v>0</v>
      </c>
      <c r="AM17" s="50">
        <f t="shared" ref="AM17" si="9">SUBTOTAL(9,AM15:AM16)</f>
        <v>0</v>
      </c>
      <c r="AN17" s="50">
        <f t="shared" si="5"/>
        <v>0</v>
      </c>
      <c r="AO17" s="41"/>
      <c r="AP17" s="61">
        <f t="shared" si="5"/>
        <v>0</v>
      </c>
      <c r="AQ17" s="41"/>
      <c r="AR17" s="258">
        <f>AP17-'FY21'!S17</f>
        <v>0</v>
      </c>
    </row>
    <row r="18" spans="1:44" s="37" customFormat="1" ht="12" x14ac:dyDescent="0.2">
      <c r="A18" s="45"/>
      <c r="C18" s="49" t="s">
        <v>149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41"/>
      <c r="AP18" s="59"/>
      <c r="AQ18" s="41"/>
      <c r="AR18" s="258">
        <f>AP18-'FY21'!S18</f>
        <v>0</v>
      </c>
    </row>
    <row r="19" spans="1:44" s="37" customFormat="1" ht="12" x14ac:dyDescent="0.2">
      <c r="A19" s="45" t="s">
        <v>355</v>
      </c>
      <c r="C19" s="199">
        <v>4500</v>
      </c>
      <c r="D19" s="37" t="s">
        <v>6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0</v>
      </c>
      <c r="AD19" s="370">
        <f>+'Rev &amp; Enroll'!F55</f>
        <v>0</v>
      </c>
      <c r="AE19" s="370">
        <v>0</v>
      </c>
      <c r="AF19" s="370">
        <v>0</v>
      </c>
      <c r="AG19" s="370">
        <v>0</v>
      </c>
      <c r="AH19" s="370">
        <v>0</v>
      </c>
      <c r="AI19" s="370">
        <f>+'Rev &amp; Enroll'!F57</f>
        <v>20555</v>
      </c>
      <c r="AJ19" s="39">
        <v>0</v>
      </c>
      <c r="AK19" s="39">
        <v>0</v>
      </c>
      <c r="AL19" s="39">
        <v>0</v>
      </c>
      <c r="AM19" s="39">
        <v>0</v>
      </c>
      <c r="AN19" s="39">
        <v>0</v>
      </c>
      <c r="AO19" s="41"/>
      <c r="AP19" s="59">
        <f>SUM(E19:AO19)</f>
        <v>20555</v>
      </c>
      <c r="AQ19" s="41"/>
      <c r="AR19" s="258">
        <f>AP19-'FY21'!S19</f>
        <v>2055.5</v>
      </c>
    </row>
    <row r="20" spans="1:44" s="37" customFormat="1" ht="12" x14ac:dyDescent="0.2">
      <c r="A20" s="45"/>
      <c r="C20" s="199">
        <v>4571</v>
      </c>
      <c r="D20" s="37" t="s">
        <v>7</v>
      </c>
      <c r="E20" s="371">
        <f>+'Rev &amp; Enroll'!F59</f>
        <v>5000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K20" s="41">
        <v>0</v>
      </c>
      <c r="AL20" s="41">
        <v>0</v>
      </c>
      <c r="AM20" s="41">
        <v>0</v>
      </c>
      <c r="AN20" s="41">
        <v>0</v>
      </c>
      <c r="AO20" s="41"/>
      <c r="AP20" s="62">
        <f>SUM(E20:AO20)</f>
        <v>5000</v>
      </c>
      <c r="AQ20" s="41"/>
      <c r="AR20" s="258">
        <f>AP20-'FY21'!S20</f>
        <v>0</v>
      </c>
    </row>
    <row r="21" spans="1:44" s="37" customFormat="1" ht="12" x14ac:dyDescent="0.2">
      <c r="A21" s="45"/>
      <c r="C21" s="38">
        <v>4703</v>
      </c>
      <c r="D21" s="37" t="s">
        <v>185</v>
      </c>
      <c r="E21" s="371">
        <f>+'Rev &amp; Enroll'!F60</f>
        <v>11737.739999999998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K21" s="41">
        <v>0</v>
      </c>
      <c r="AL21" s="41">
        <v>0</v>
      </c>
      <c r="AM21" s="41">
        <v>0</v>
      </c>
      <c r="AN21" s="41">
        <v>0</v>
      </c>
      <c r="AO21" s="41"/>
      <c r="AP21" s="62">
        <f>SUM(E21:AO21)</f>
        <v>11737.739999999998</v>
      </c>
      <c r="AQ21" s="41"/>
      <c r="AR21" s="258">
        <f>AP21-'FY21'!S21</f>
        <v>0</v>
      </c>
    </row>
    <row r="22" spans="1:44" s="37" customFormat="1" ht="12" x14ac:dyDescent="0.2">
      <c r="A22" s="45"/>
      <c r="C22" s="38"/>
      <c r="E22" s="50">
        <f t="shared" ref="E22:AN22" si="10">SUBTOTAL(9,E19:E21)</f>
        <v>16737.739999999998</v>
      </c>
      <c r="F22" s="50">
        <f>SUBTOTAL(9,F19:F21)</f>
        <v>0</v>
      </c>
      <c r="G22" s="50">
        <f>SUBTOTAL(9,G19:G21)</f>
        <v>0</v>
      </c>
      <c r="H22" s="50">
        <f t="shared" si="10"/>
        <v>0</v>
      </c>
      <c r="I22" s="50">
        <f t="shared" si="10"/>
        <v>0</v>
      </c>
      <c r="J22" s="50">
        <f t="shared" si="10"/>
        <v>0</v>
      </c>
      <c r="K22" s="50">
        <f t="shared" si="10"/>
        <v>0</v>
      </c>
      <c r="L22" s="50">
        <f t="shared" si="10"/>
        <v>0</v>
      </c>
      <c r="M22" s="50">
        <f t="shared" si="10"/>
        <v>0</v>
      </c>
      <c r="N22" s="50">
        <f t="shared" si="10"/>
        <v>0</v>
      </c>
      <c r="O22" s="50">
        <f t="shared" si="10"/>
        <v>0</v>
      </c>
      <c r="P22" s="50">
        <f t="shared" ref="P22" si="11">SUBTOTAL(9,P19:P21)</f>
        <v>0</v>
      </c>
      <c r="Q22" s="50">
        <f t="shared" si="10"/>
        <v>0</v>
      </c>
      <c r="R22" s="50">
        <f t="shared" ref="R22:AG22" si="12">SUBTOTAL(9,R19:R21)</f>
        <v>0</v>
      </c>
      <c r="S22" s="50">
        <f t="shared" si="12"/>
        <v>0</v>
      </c>
      <c r="T22" s="50">
        <f t="shared" si="12"/>
        <v>0</v>
      </c>
      <c r="U22" s="50">
        <f t="shared" si="12"/>
        <v>0</v>
      </c>
      <c r="V22" s="50">
        <f t="shared" si="12"/>
        <v>0</v>
      </c>
      <c r="W22" s="50">
        <f t="shared" si="12"/>
        <v>0</v>
      </c>
      <c r="X22" s="50">
        <f t="shared" si="12"/>
        <v>0</v>
      </c>
      <c r="Y22" s="50">
        <f t="shared" si="12"/>
        <v>0</v>
      </c>
      <c r="Z22" s="50">
        <f t="shared" si="12"/>
        <v>0</v>
      </c>
      <c r="AA22" s="50">
        <f t="shared" si="12"/>
        <v>0</v>
      </c>
      <c r="AB22" s="50">
        <f t="shared" si="12"/>
        <v>0</v>
      </c>
      <c r="AC22" s="50">
        <f t="shared" si="12"/>
        <v>0</v>
      </c>
      <c r="AD22" s="50">
        <f>SUBTOTAL(9,AD19:AD21)</f>
        <v>0</v>
      </c>
      <c r="AE22" s="50">
        <f t="shared" si="12"/>
        <v>0</v>
      </c>
      <c r="AF22" s="50">
        <f t="shared" si="12"/>
        <v>0</v>
      </c>
      <c r="AG22" s="50">
        <f t="shared" si="12"/>
        <v>0</v>
      </c>
      <c r="AH22" s="50">
        <f t="shared" si="10"/>
        <v>0</v>
      </c>
      <c r="AI22" s="50">
        <f t="shared" si="10"/>
        <v>20555</v>
      </c>
      <c r="AJ22" s="50">
        <f t="shared" si="10"/>
        <v>0</v>
      </c>
      <c r="AK22" s="50">
        <f t="shared" ref="AK22" si="13">SUBTOTAL(9,AK19:AK21)</f>
        <v>0</v>
      </c>
      <c r="AL22" s="50">
        <f t="shared" si="10"/>
        <v>0</v>
      </c>
      <c r="AM22" s="50">
        <f t="shared" ref="AM22" si="14">SUBTOTAL(9,AM19:AM21)</f>
        <v>0</v>
      </c>
      <c r="AN22" s="50">
        <f t="shared" si="10"/>
        <v>0</v>
      </c>
      <c r="AO22" s="41"/>
      <c r="AP22" s="61">
        <f>SUBTOTAL(9,AP19:AP21)</f>
        <v>37292.74</v>
      </c>
      <c r="AQ22" s="41"/>
      <c r="AR22" s="258">
        <f>AP22-'FY21'!S22</f>
        <v>2055.5</v>
      </c>
    </row>
    <row r="23" spans="1:44" s="37" customFormat="1" ht="12" x14ac:dyDescent="0.2">
      <c r="A23" s="45"/>
      <c r="C23" s="49" t="s">
        <v>150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41"/>
      <c r="AP23" s="62"/>
      <c r="AQ23" s="41"/>
      <c r="AR23" s="258">
        <f>AP23-'FY21'!S23</f>
        <v>0</v>
      </c>
    </row>
    <row r="24" spans="1:44" s="37" customFormat="1" ht="12" x14ac:dyDescent="0.2">
      <c r="A24" s="45"/>
      <c r="C24" s="199">
        <v>1790</v>
      </c>
      <c r="D24" s="37" t="s">
        <v>4</v>
      </c>
      <c r="E24" s="39">
        <f>'FY21'!S24</f>
        <v>358560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v>0</v>
      </c>
      <c r="AE24" s="39">
        <v>0</v>
      </c>
      <c r="AF24" s="39">
        <v>0</v>
      </c>
      <c r="AG24" s="39">
        <v>0</v>
      </c>
      <c r="AH24" s="39">
        <v>0</v>
      </c>
      <c r="AI24" s="39">
        <v>0</v>
      </c>
      <c r="AJ24" s="39">
        <v>0</v>
      </c>
      <c r="AK24" s="39">
        <v>0</v>
      </c>
      <c r="AL24" s="39">
        <v>0</v>
      </c>
      <c r="AM24" s="39">
        <v>0</v>
      </c>
      <c r="AN24" s="39">
        <v>0</v>
      </c>
      <c r="AO24" s="41"/>
      <c r="AP24" s="59">
        <f>SUM(E24:AO24)</f>
        <v>358560</v>
      </c>
      <c r="AQ24" s="41"/>
      <c r="AR24" s="258">
        <f>AP24-'FY21'!S24</f>
        <v>0</v>
      </c>
    </row>
    <row r="25" spans="1:44" s="37" customFormat="1" ht="12" x14ac:dyDescent="0.2">
      <c r="A25" s="45"/>
      <c r="C25" s="38"/>
      <c r="E25" s="50">
        <f t="shared" ref="E25:AP25" si="15">SUBTOTAL(9,E24)</f>
        <v>358560</v>
      </c>
      <c r="F25" s="50">
        <f>SUBTOTAL(9,F24)</f>
        <v>0</v>
      </c>
      <c r="G25" s="50">
        <f>SUBTOTAL(9,G24)</f>
        <v>0</v>
      </c>
      <c r="H25" s="50">
        <f t="shared" si="15"/>
        <v>0</v>
      </c>
      <c r="I25" s="50">
        <f t="shared" si="15"/>
        <v>0</v>
      </c>
      <c r="J25" s="50">
        <f t="shared" si="15"/>
        <v>0</v>
      </c>
      <c r="K25" s="50">
        <f t="shared" si="15"/>
        <v>0</v>
      </c>
      <c r="L25" s="50">
        <f t="shared" si="15"/>
        <v>0</v>
      </c>
      <c r="M25" s="50">
        <f t="shared" si="15"/>
        <v>0</v>
      </c>
      <c r="N25" s="50">
        <f t="shared" si="15"/>
        <v>0</v>
      </c>
      <c r="O25" s="50">
        <f t="shared" si="15"/>
        <v>0</v>
      </c>
      <c r="P25" s="50">
        <f t="shared" ref="P25" si="16">SUBTOTAL(9,P24)</f>
        <v>0</v>
      </c>
      <c r="Q25" s="50">
        <f t="shared" si="15"/>
        <v>0</v>
      </c>
      <c r="R25" s="50">
        <f t="shared" ref="R25:AG25" si="17">SUBTOTAL(9,R24)</f>
        <v>0</v>
      </c>
      <c r="S25" s="50">
        <f t="shared" si="17"/>
        <v>0</v>
      </c>
      <c r="T25" s="50">
        <f t="shared" si="17"/>
        <v>0</v>
      </c>
      <c r="U25" s="50">
        <f t="shared" si="17"/>
        <v>0</v>
      </c>
      <c r="V25" s="50">
        <f t="shared" si="17"/>
        <v>0</v>
      </c>
      <c r="W25" s="50">
        <f t="shared" si="17"/>
        <v>0</v>
      </c>
      <c r="X25" s="50">
        <f t="shared" si="17"/>
        <v>0</v>
      </c>
      <c r="Y25" s="50">
        <f t="shared" si="17"/>
        <v>0</v>
      </c>
      <c r="Z25" s="50">
        <f t="shared" si="17"/>
        <v>0</v>
      </c>
      <c r="AA25" s="50">
        <f t="shared" si="17"/>
        <v>0</v>
      </c>
      <c r="AB25" s="50">
        <f t="shared" si="17"/>
        <v>0</v>
      </c>
      <c r="AC25" s="50">
        <f t="shared" si="17"/>
        <v>0</v>
      </c>
      <c r="AD25" s="50">
        <f t="shared" si="17"/>
        <v>0</v>
      </c>
      <c r="AE25" s="50">
        <f t="shared" si="17"/>
        <v>0</v>
      </c>
      <c r="AF25" s="50">
        <f t="shared" si="17"/>
        <v>0</v>
      </c>
      <c r="AG25" s="50">
        <f t="shared" si="17"/>
        <v>0</v>
      </c>
      <c r="AH25" s="50">
        <f t="shared" si="15"/>
        <v>0</v>
      </c>
      <c r="AI25" s="50">
        <f t="shared" si="15"/>
        <v>0</v>
      </c>
      <c r="AJ25" s="50">
        <f t="shared" si="15"/>
        <v>0</v>
      </c>
      <c r="AK25" s="50">
        <f t="shared" ref="AK25" si="18">SUBTOTAL(9,AK24)</f>
        <v>0</v>
      </c>
      <c r="AL25" s="50">
        <f t="shared" si="15"/>
        <v>0</v>
      </c>
      <c r="AM25" s="50">
        <f t="shared" ref="AM25" si="19">SUBTOTAL(9,AM24)</f>
        <v>0</v>
      </c>
      <c r="AN25" s="50">
        <f t="shared" si="15"/>
        <v>0</v>
      </c>
      <c r="AO25" s="41"/>
      <c r="AP25" s="61">
        <f t="shared" si="15"/>
        <v>358560</v>
      </c>
      <c r="AQ25" s="41"/>
      <c r="AR25" s="258">
        <f>AP25-'FY21'!S25</f>
        <v>0</v>
      </c>
    </row>
    <row r="26" spans="1:44" s="37" customFormat="1" ht="9" customHeight="1" x14ac:dyDescent="0.2">
      <c r="A26" s="45"/>
      <c r="C26" s="38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41"/>
      <c r="AP26" s="59"/>
      <c r="AQ26" s="41"/>
      <c r="AR26" s="258">
        <f>AP26-'FY21'!S26</f>
        <v>0</v>
      </c>
    </row>
    <row r="27" spans="1:44" s="45" customFormat="1" ht="12" x14ac:dyDescent="0.2">
      <c r="A27" s="45" t="s">
        <v>105</v>
      </c>
      <c r="C27" s="46"/>
      <c r="E27" s="43">
        <f t="shared" ref="E27:AN27" si="20">SUBTOTAL(9,E8:E26)</f>
        <v>2176731.7352</v>
      </c>
      <c r="F27" s="43">
        <f>SUBTOTAL(9,F8:F26)</f>
        <v>0</v>
      </c>
      <c r="G27" s="43">
        <f>SUBTOTAL(9,G8:G26)</f>
        <v>0</v>
      </c>
      <c r="H27" s="43">
        <f t="shared" si="20"/>
        <v>0</v>
      </c>
      <c r="I27" s="43">
        <f t="shared" si="20"/>
        <v>0</v>
      </c>
      <c r="J27" s="43">
        <f t="shared" si="20"/>
        <v>0</v>
      </c>
      <c r="K27" s="43">
        <f t="shared" si="20"/>
        <v>0</v>
      </c>
      <c r="L27" s="43">
        <f t="shared" si="20"/>
        <v>0</v>
      </c>
      <c r="M27" s="43">
        <f t="shared" si="20"/>
        <v>0</v>
      </c>
      <c r="N27" s="43">
        <f t="shared" si="20"/>
        <v>0</v>
      </c>
      <c r="O27" s="43">
        <f t="shared" si="20"/>
        <v>0</v>
      </c>
      <c r="P27" s="43">
        <f t="shared" ref="P27" si="21">SUBTOTAL(9,P8:P26)</f>
        <v>0</v>
      </c>
      <c r="Q27" s="43">
        <f t="shared" si="20"/>
        <v>0</v>
      </c>
      <c r="R27" s="43">
        <f t="shared" ref="R27:AG27" si="22">SUBTOTAL(9,R8:R26)</f>
        <v>0</v>
      </c>
      <c r="S27" s="43">
        <f t="shared" si="22"/>
        <v>0</v>
      </c>
      <c r="T27" s="43">
        <f t="shared" si="22"/>
        <v>0</v>
      </c>
      <c r="U27" s="43">
        <f t="shared" si="22"/>
        <v>0</v>
      </c>
      <c r="V27" s="43">
        <f t="shared" si="22"/>
        <v>0</v>
      </c>
      <c r="W27" s="43">
        <f t="shared" si="22"/>
        <v>0</v>
      </c>
      <c r="X27" s="43">
        <f t="shared" si="22"/>
        <v>0</v>
      </c>
      <c r="Y27" s="43">
        <f t="shared" si="22"/>
        <v>0</v>
      </c>
      <c r="Z27" s="43">
        <f t="shared" si="22"/>
        <v>0</v>
      </c>
      <c r="AA27" s="43">
        <f t="shared" si="22"/>
        <v>0</v>
      </c>
      <c r="AB27" s="43">
        <f t="shared" si="22"/>
        <v>0</v>
      </c>
      <c r="AC27" s="43">
        <f t="shared" si="22"/>
        <v>0</v>
      </c>
      <c r="AD27" s="43">
        <f t="shared" si="22"/>
        <v>0</v>
      </c>
      <c r="AE27" s="43">
        <f t="shared" si="22"/>
        <v>0</v>
      </c>
      <c r="AF27" s="43">
        <f t="shared" si="22"/>
        <v>0</v>
      </c>
      <c r="AG27" s="43">
        <f t="shared" si="22"/>
        <v>0</v>
      </c>
      <c r="AH27" s="43">
        <f t="shared" si="20"/>
        <v>0</v>
      </c>
      <c r="AI27" s="43">
        <f t="shared" si="20"/>
        <v>20555</v>
      </c>
      <c r="AJ27" s="43">
        <f t="shared" si="20"/>
        <v>0</v>
      </c>
      <c r="AK27" s="43">
        <f t="shared" ref="AK27" si="23">SUBTOTAL(9,AK8:AK26)</f>
        <v>0</v>
      </c>
      <c r="AL27" s="43">
        <f t="shared" si="20"/>
        <v>0</v>
      </c>
      <c r="AM27" s="43">
        <f t="shared" ref="AM27" si="24">SUBTOTAL(9,AM8:AM26)</f>
        <v>0</v>
      </c>
      <c r="AN27" s="43">
        <f t="shared" si="20"/>
        <v>0</v>
      </c>
      <c r="AO27" s="48"/>
      <c r="AP27" s="60">
        <f>SUBTOTAL(9,AP8:AP26)</f>
        <v>2197286.7352</v>
      </c>
      <c r="AQ27" s="48"/>
      <c r="AR27" s="258">
        <f>AP27-'FY21'!S27</f>
        <v>2055.5</v>
      </c>
    </row>
    <row r="28" spans="1:44" s="45" customFormat="1" ht="12" x14ac:dyDescent="0.2">
      <c r="C28" s="46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8"/>
      <c r="AP28" s="59"/>
      <c r="AQ28" s="48"/>
      <c r="AR28" s="258">
        <f>AP28-'FY21'!S28</f>
        <v>0</v>
      </c>
    </row>
    <row r="29" spans="1:44" s="37" customFormat="1" ht="12" x14ac:dyDescent="0.2">
      <c r="A29" s="45" t="s">
        <v>59</v>
      </c>
      <c r="C29" s="3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41"/>
      <c r="AP29" s="59"/>
      <c r="AQ29" s="41"/>
      <c r="AR29" s="258">
        <f>AP29-'FY21'!S29</f>
        <v>0</v>
      </c>
    </row>
    <row r="30" spans="1:44" s="37" customFormat="1" ht="12" x14ac:dyDescent="0.2">
      <c r="C30" s="49" t="s">
        <v>8</v>
      </c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41"/>
      <c r="AP30" s="59"/>
      <c r="AQ30" s="41"/>
      <c r="AR30" s="258">
        <f>AP30-'FY21'!S30</f>
        <v>0</v>
      </c>
    </row>
    <row r="31" spans="1:44" s="37" customFormat="1" ht="12" x14ac:dyDescent="0.2">
      <c r="C31" s="199">
        <v>6111</v>
      </c>
      <c r="D31" s="37" t="s">
        <v>191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  <c r="AE31" s="39">
        <v>0</v>
      </c>
      <c r="AF31" s="39">
        <v>0</v>
      </c>
      <c r="AG31" s="39">
        <v>0</v>
      </c>
      <c r="AH31" s="39">
        <v>0</v>
      </c>
      <c r="AI31" s="39">
        <v>0</v>
      </c>
      <c r="AJ31" s="39">
        <v>0</v>
      </c>
      <c r="AK31" s="39">
        <v>0</v>
      </c>
      <c r="AL31" s="39">
        <v>0</v>
      </c>
      <c r="AM31" s="39">
        <v>0</v>
      </c>
      <c r="AN31" s="39">
        <v>0</v>
      </c>
      <c r="AO31" s="41"/>
      <c r="AP31" s="59">
        <f t="shared" ref="AP31:AP40" si="25">SUM(E31:AO31)</f>
        <v>0</v>
      </c>
      <c r="AQ31" s="41"/>
      <c r="AR31" s="258">
        <f>AP31-'FY21'!S31</f>
        <v>0</v>
      </c>
    </row>
    <row r="32" spans="1:44" s="37" customFormat="1" ht="12" x14ac:dyDescent="0.2">
      <c r="C32" s="199">
        <v>6114</v>
      </c>
      <c r="D32" s="37" t="s">
        <v>192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70">
        <f>Payroll!K16+Payroll!K17</f>
        <v>268312.5</v>
      </c>
      <c r="N32" s="370">
        <f>'FY21'!S32-M32</f>
        <v>224515.1999999999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0</v>
      </c>
      <c r="AE32" s="39">
        <v>0</v>
      </c>
      <c r="AF32" s="39">
        <v>0</v>
      </c>
      <c r="AG32" s="39">
        <v>0</v>
      </c>
      <c r="AH32" s="39">
        <v>0</v>
      </c>
      <c r="AI32" s="39">
        <v>0</v>
      </c>
      <c r="AJ32" s="39">
        <v>0</v>
      </c>
      <c r="AK32" s="39">
        <v>0</v>
      </c>
      <c r="AL32" s="39">
        <v>0</v>
      </c>
      <c r="AM32" s="39">
        <v>0</v>
      </c>
      <c r="AN32" s="39">
        <v>0</v>
      </c>
      <c r="AO32" s="41"/>
      <c r="AP32" s="59">
        <f t="shared" si="25"/>
        <v>492827.6999999999</v>
      </c>
      <c r="AQ32" s="41"/>
      <c r="AR32" s="258">
        <f>AP32-'FY21'!S32</f>
        <v>0</v>
      </c>
    </row>
    <row r="33" spans="3:44" s="37" customFormat="1" ht="12" x14ac:dyDescent="0.2">
      <c r="C33" s="199">
        <v>6117</v>
      </c>
      <c r="D33" s="37" t="s">
        <v>228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70">
        <f>'FY21'!S33</f>
        <v>585797.28899999999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0</v>
      </c>
      <c r="AE33" s="39">
        <v>0</v>
      </c>
      <c r="AF33" s="39">
        <v>0</v>
      </c>
      <c r="AG33" s="39">
        <v>0</v>
      </c>
      <c r="AH33" s="39">
        <v>0</v>
      </c>
      <c r="AI33" s="39">
        <v>0</v>
      </c>
      <c r="AJ33" s="39">
        <v>0</v>
      </c>
      <c r="AK33" s="39">
        <v>0</v>
      </c>
      <c r="AL33" s="39">
        <v>0</v>
      </c>
      <c r="AM33" s="39">
        <v>0</v>
      </c>
      <c r="AN33" s="39">
        <v>0</v>
      </c>
      <c r="AO33" s="41"/>
      <c r="AP33" s="59">
        <f t="shared" si="25"/>
        <v>585797.28899999999</v>
      </c>
      <c r="AQ33" s="41"/>
      <c r="AR33" s="258">
        <f>AP33-'FY21'!S33</f>
        <v>0</v>
      </c>
    </row>
    <row r="34" spans="3:44" s="37" customFormat="1" ht="12" x14ac:dyDescent="0.2">
      <c r="C34" s="199">
        <v>6127</v>
      </c>
      <c r="D34" s="37" t="s">
        <v>229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70">
        <f>'FY21'!S34</f>
        <v>35360.000000000007</v>
      </c>
      <c r="P34" s="39">
        <v>0</v>
      </c>
      <c r="Q34" s="39">
        <v>0</v>
      </c>
      <c r="R34" s="39">
        <v>0</v>
      </c>
      <c r="S34" s="39">
        <v>0</v>
      </c>
      <c r="T34" s="39">
        <v>0</v>
      </c>
      <c r="U34" s="39">
        <v>0</v>
      </c>
      <c r="V34" s="39">
        <v>0</v>
      </c>
      <c r="W34" s="39">
        <v>0</v>
      </c>
      <c r="X34" s="39">
        <v>0</v>
      </c>
      <c r="Y34" s="39">
        <v>0</v>
      </c>
      <c r="Z34" s="39">
        <v>0</v>
      </c>
      <c r="AA34" s="39">
        <v>0</v>
      </c>
      <c r="AB34" s="39">
        <v>0</v>
      </c>
      <c r="AC34" s="39">
        <v>0</v>
      </c>
      <c r="AD34" s="39">
        <v>0</v>
      </c>
      <c r="AE34" s="39">
        <v>0</v>
      </c>
      <c r="AF34" s="39">
        <v>0</v>
      </c>
      <c r="AG34" s="39">
        <v>0</v>
      </c>
      <c r="AH34" s="39">
        <v>0</v>
      </c>
      <c r="AI34" s="39">
        <v>0</v>
      </c>
      <c r="AJ34" s="39">
        <v>0</v>
      </c>
      <c r="AK34" s="39">
        <v>0</v>
      </c>
      <c r="AL34" s="39">
        <v>0</v>
      </c>
      <c r="AM34" s="39">
        <v>0</v>
      </c>
      <c r="AN34" s="39">
        <v>0</v>
      </c>
      <c r="AO34" s="41"/>
      <c r="AP34" s="59">
        <f t="shared" si="25"/>
        <v>35360.000000000007</v>
      </c>
      <c r="AQ34" s="41"/>
      <c r="AR34" s="258">
        <f>AP34-'FY21'!S34</f>
        <v>0</v>
      </c>
    </row>
    <row r="35" spans="3:44" s="37" customFormat="1" ht="12" x14ac:dyDescent="0.2">
      <c r="C35" s="199">
        <v>6151</v>
      </c>
      <c r="D35" s="37" t="s">
        <v>189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39">
        <v>0</v>
      </c>
      <c r="S35" s="39">
        <v>0</v>
      </c>
      <c r="T35" s="39">
        <v>0</v>
      </c>
      <c r="U35" s="39">
        <v>0</v>
      </c>
      <c r="V35" s="39">
        <v>0</v>
      </c>
      <c r="W35" s="39">
        <v>0</v>
      </c>
      <c r="X35" s="39">
        <v>0</v>
      </c>
      <c r="Y35" s="39">
        <v>0</v>
      </c>
      <c r="Z35" s="39">
        <v>0</v>
      </c>
      <c r="AA35" s="39">
        <v>0</v>
      </c>
      <c r="AB35" s="39">
        <v>0</v>
      </c>
      <c r="AC35" s="39">
        <v>0</v>
      </c>
      <c r="AD35" s="39">
        <v>0</v>
      </c>
      <c r="AE35" s="39">
        <v>0</v>
      </c>
      <c r="AF35" s="39">
        <v>0</v>
      </c>
      <c r="AG35" s="39">
        <v>0</v>
      </c>
      <c r="AH35" s="39">
        <v>0</v>
      </c>
      <c r="AI35" s="39">
        <v>0</v>
      </c>
      <c r="AJ35" s="39">
        <v>0</v>
      </c>
      <c r="AK35" s="39">
        <v>0</v>
      </c>
      <c r="AL35" s="39">
        <v>0</v>
      </c>
      <c r="AM35" s="39">
        <v>0</v>
      </c>
      <c r="AN35" s="39">
        <v>0</v>
      </c>
      <c r="AO35" s="41"/>
      <c r="AP35" s="59">
        <f t="shared" si="25"/>
        <v>0</v>
      </c>
      <c r="AQ35" s="41"/>
      <c r="AR35" s="258">
        <f>AP35-'FY21'!S35</f>
        <v>0</v>
      </c>
    </row>
    <row r="36" spans="3:44" s="37" customFormat="1" ht="12" x14ac:dyDescent="0.2">
      <c r="C36" s="199">
        <v>6154</v>
      </c>
      <c r="D36" s="37" t="s">
        <v>190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70">
        <f>Payroll!K57+Payroll!K58+Payroll!K63+Payroll!K64</f>
        <v>16500</v>
      </c>
      <c r="N36" s="370">
        <f>'FY21'!S36-M36</f>
        <v>11750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39">
        <v>0</v>
      </c>
      <c r="X36" s="39">
        <v>0</v>
      </c>
      <c r="Y36" s="39">
        <v>0</v>
      </c>
      <c r="Z36" s="39">
        <v>0</v>
      </c>
      <c r="AA36" s="39">
        <v>0</v>
      </c>
      <c r="AB36" s="39">
        <v>0</v>
      </c>
      <c r="AC36" s="39">
        <v>0</v>
      </c>
      <c r="AD36" s="39">
        <v>0</v>
      </c>
      <c r="AE36" s="39">
        <v>0</v>
      </c>
      <c r="AF36" s="39">
        <v>0</v>
      </c>
      <c r="AG36" s="39">
        <v>0</v>
      </c>
      <c r="AH36" s="39">
        <v>0</v>
      </c>
      <c r="AI36" s="39">
        <v>0</v>
      </c>
      <c r="AJ36" s="39">
        <v>0</v>
      </c>
      <c r="AK36" s="39">
        <v>0</v>
      </c>
      <c r="AL36" s="39">
        <v>0</v>
      </c>
      <c r="AM36" s="39">
        <v>0</v>
      </c>
      <c r="AN36" s="39">
        <v>0</v>
      </c>
      <c r="AO36" s="41"/>
      <c r="AP36" s="59">
        <f t="shared" si="25"/>
        <v>28250</v>
      </c>
      <c r="AQ36" s="41"/>
      <c r="AR36" s="258">
        <f>AP36-'FY21'!S36</f>
        <v>0</v>
      </c>
    </row>
    <row r="37" spans="3:44" s="37" customFormat="1" ht="12" x14ac:dyDescent="0.2">
      <c r="C37" s="199">
        <v>6157</v>
      </c>
      <c r="D37" s="37" t="s">
        <v>230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70">
        <f>'FY21'!S37</f>
        <v>35208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39">
        <v>0</v>
      </c>
      <c r="V37" s="39">
        <v>0</v>
      </c>
      <c r="W37" s="39">
        <v>0</v>
      </c>
      <c r="X37" s="39">
        <v>0</v>
      </c>
      <c r="Y37" s="39">
        <v>0</v>
      </c>
      <c r="Z37" s="39">
        <v>0</v>
      </c>
      <c r="AA37" s="39">
        <v>0</v>
      </c>
      <c r="AB37" s="39">
        <v>0</v>
      </c>
      <c r="AC37" s="39">
        <v>0</v>
      </c>
      <c r="AD37" s="39">
        <v>0</v>
      </c>
      <c r="AE37" s="39">
        <v>0</v>
      </c>
      <c r="AF37" s="39">
        <v>0</v>
      </c>
      <c r="AG37" s="39">
        <v>0</v>
      </c>
      <c r="AH37" s="39">
        <v>0</v>
      </c>
      <c r="AI37" s="39">
        <v>0</v>
      </c>
      <c r="AJ37" s="39">
        <v>0</v>
      </c>
      <c r="AK37" s="39">
        <v>0</v>
      </c>
      <c r="AL37" s="39">
        <v>0</v>
      </c>
      <c r="AM37" s="39">
        <v>0</v>
      </c>
      <c r="AN37" s="39">
        <v>0</v>
      </c>
      <c r="AO37" s="41"/>
      <c r="AP37" s="59">
        <f t="shared" si="25"/>
        <v>35208</v>
      </c>
      <c r="AQ37" s="41"/>
      <c r="AR37" s="258">
        <f>AP37-'FY21'!S37</f>
        <v>0</v>
      </c>
    </row>
    <row r="38" spans="3:44" s="37" customFormat="1" ht="12" x14ac:dyDescent="0.2">
      <c r="C38" s="199">
        <v>6161</v>
      </c>
      <c r="D38" s="37" t="s">
        <v>97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39">
        <v>0</v>
      </c>
      <c r="U38" s="39">
        <v>0</v>
      </c>
      <c r="V38" s="39">
        <v>0</v>
      </c>
      <c r="W38" s="39">
        <v>0</v>
      </c>
      <c r="X38" s="39">
        <v>0</v>
      </c>
      <c r="Y38" s="39">
        <v>0</v>
      </c>
      <c r="Z38" s="39">
        <v>0</v>
      </c>
      <c r="AA38" s="39">
        <v>0</v>
      </c>
      <c r="AB38" s="39">
        <v>0</v>
      </c>
      <c r="AC38" s="39">
        <v>0</v>
      </c>
      <c r="AD38" s="39">
        <v>0</v>
      </c>
      <c r="AE38" s="39">
        <v>0</v>
      </c>
      <c r="AF38" s="39">
        <v>0</v>
      </c>
      <c r="AG38" s="39">
        <v>0</v>
      </c>
      <c r="AH38" s="39">
        <v>0</v>
      </c>
      <c r="AI38" s="39">
        <v>0</v>
      </c>
      <c r="AJ38" s="39">
        <v>0</v>
      </c>
      <c r="AK38" s="39">
        <v>0</v>
      </c>
      <c r="AL38" s="39">
        <v>0</v>
      </c>
      <c r="AM38" s="39">
        <v>0</v>
      </c>
      <c r="AN38" s="39">
        <v>0</v>
      </c>
      <c r="AO38" s="41"/>
      <c r="AP38" s="59">
        <f t="shared" si="25"/>
        <v>0</v>
      </c>
      <c r="AQ38" s="41"/>
      <c r="AR38" s="258">
        <f>AP38-'FY21'!S38</f>
        <v>0</v>
      </c>
    </row>
    <row r="39" spans="3:44" s="37" customFormat="1" ht="12" x14ac:dyDescent="0.2">
      <c r="C39" s="199">
        <v>6164</v>
      </c>
      <c r="D39" s="37" t="s">
        <v>98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70">
        <f>Payroll!K92+Payroll!K93</f>
        <v>4500</v>
      </c>
      <c r="N39" s="370">
        <f>'FY21'!S39-M39</f>
        <v>8000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  <c r="W39" s="39">
        <v>0</v>
      </c>
      <c r="X39" s="39">
        <v>0</v>
      </c>
      <c r="Y39" s="39">
        <v>0</v>
      </c>
      <c r="Z39" s="39">
        <v>0</v>
      </c>
      <c r="AA39" s="39">
        <v>0</v>
      </c>
      <c r="AB39" s="39">
        <v>0</v>
      </c>
      <c r="AC39" s="39">
        <v>0</v>
      </c>
      <c r="AD39" s="39">
        <v>0</v>
      </c>
      <c r="AE39" s="39">
        <v>0</v>
      </c>
      <c r="AF39" s="39">
        <v>0</v>
      </c>
      <c r="AG39" s="39">
        <v>0</v>
      </c>
      <c r="AH39" s="39">
        <v>0</v>
      </c>
      <c r="AI39" s="39">
        <v>0</v>
      </c>
      <c r="AJ39" s="39">
        <v>0</v>
      </c>
      <c r="AK39" s="39">
        <v>0</v>
      </c>
      <c r="AL39" s="39">
        <v>0</v>
      </c>
      <c r="AM39" s="39">
        <v>0</v>
      </c>
      <c r="AN39" s="39">
        <v>0</v>
      </c>
      <c r="AO39" s="41"/>
      <c r="AP39" s="59">
        <f t="shared" si="25"/>
        <v>12500</v>
      </c>
      <c r="AQ39" s="41"/>
      <c r="AR39" s="258">
        <f>AP39-'FY21'!S39</f>
        <v>0</v>
      </c>
    </row>
    <row r="40" spans="3:44" s="37" customFormat="1" ht="12" x14ac:dyDescent="0.2">
      <c r="C40" s="199">
        <v>6167</v>
      </c>
      <c r="D40" s="37" t="s">
        <v>231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70">
        <f>'FY21'!S40</f>
        <v>2500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  <c r="AD40" s="39">
        <v>0</v>
      </c>
      <c r="AE40" s="39">
        <v>0</v>
      </c>
      <c r="AF40" s="39">
        <v>0</v>
      </c>
      <c r="AG40" s="39">
        <v>0</v>
      </c>
      <c r="AH40" s="39">
        <v>0</v>
      </c>
      <c r="AI40" s="39">
        <v>0</v>
      </c>
      <c r="AJ40" s="39">
        <v>0</v>
      </c>
      <c r="AK40" s="39">
        <v>0</v>
      </c>
      <c r="AL40" s="39">
        <v>0</v>
      </c>
      <c r="AM40" s="39">
        <v>0</v>
      </c>
      <c r="AN40" s="39">
        <v>0</v>
      </c>
      <c r="AO40" s="41"/>
      <c r="AP40" s="59">
        <f t="shared" si="25"/>
        <v>2500</v>
      </c>
      <c r="AQ40" s="41"/>
      <c r="AR40" s="258">
        <f>AP40-'FY21'!S40</f>
        <v>0</v>
      </c>
    </row>
    <row r="41" spans="3:44" s="37" customFormat="1" ht="12" x14ac:dyDescent="0.2">
      <c r="C41" s="38"/>
      <c r="E41" s="50">
        <f t="shared" ref="E41:AN41" si="26">SUBTOTAL(9,E31:E40)</f>
        <v>0</v>
      </c>
      <c r="F41" s="50">
        <f t="shared" si="26"/>
        <v>0</v>
      </c>
      <c r="G41" s="50">
        <f t="shared" si="26"/>
        <v>0</v>
      </c>
      <c r="H41" s="50">
        <f t="shared" si="26"/>
        <v>0</v>
      </c>
      <c r="I41" s="50">
        <f t="shared" si="26"/>
        <v>0</v>
      </c>
      <c r="J41" s="50">
        <f t="shared" si="26"/>
        <v>0</v>
      </c>
      <c r="K41" s="50">
        <f t="shared" si="26"/>
        <v>0</v>
      </c>
      <c r="L41" s="50">
        <f t="shared" si="26"/>
        <v>0</v>
      </c>
      <c r="M41" s="50">
        <f t="shared" si="26"/>
        <v>289312.5</v>
      </c>
      <c r="N41" s="50">
        <f t="shared" si="26"/>
        <v>244265.1999999999</v>
      </c>
      <c r="O41" s="50">
        <f t="shared" si="26"/>
        <v>658865.28899999999</v>
      </c>
      <c r="P41" s="50">
        <f t="shared" si="26"/>
        <v>0</v>
      </c>
      <c r="Q41" s="50">
        <f t="shared" si="26"/>
        <v>0</v>
      </c>
      <c r="R41" s="50">
        <f t="shared" si="26"/>
        <v>0</v>
      </c>
      <c r="S41" s="50">
        <f t="shared" si="26"/>
        <v>0</v>
      </c>
      <c r="T41" s="50">
        <f t="shared" si="26"/>
        <v>0</v>
      </c>
      <c r="U41" s="50">
        <f t="shared" si="26"/>
        <v>0</v>
      </c>
      <c r="V41" s="50">
        <f t="shared" si="26"/>
        <v>0</v>
      </c>
      <c r="W41" s="50">
        <f t="shared" si="26"/>
        <v>0</v>
      </c>
      <c r="X41" s="50">
        <f t="shared" si="26"/>
        <v>0</v>
      </c>
      <c r="Y41" s="50">
        <f t="shared" si="26"/>
        <v>0</v>
      </c>
      <c r="Z41" s="50">
        <f t="shared" si="26"/>
        <v>0</v>
      </c>
      <c r="AA41" s="50">
        <f t="shared" si="26"/>
        <v>0</v>
      </c>
      <c r="AB41" s="50">
        <f t="shared" si="26"/>
        <v>0</v>
      </c>
      <c r="AC41" s="50">
        <f t="shared" si="26"/>
        <v>0</v>
      </c>
      <c r="AD41" s="50">
        <f t="shared" si="26"/>
        <v>0</v>
      </c>
      <c r="AE41" s="50">
        <f t="shared" si="26"/>
        <v>0</v>
      </c>
      <c r="AF41" s="50">
        <f t="shared" si="26"/>
        <v>0</v>
      </c>
      <c r="AG41" s="50">
        <f t="shared" si="26"/>
        <v>0</v>
      </c>
      <c r="AH41" s="50">
        <f t="shared" si="26"/>
        <v>0</v>
      </c>
      <c r="AI41" s="50">
        <f t="shared" si="26"/>
        <v>0</v>
      </c>
      <c r="AJ41" s="50">
        <f t="shared" si="26"/>
        <v>0</v>
      </c>
      <c r="AK41" s="50">
        <f t="shared" ref="AK41" si="27">SUBTOTAL(9,AK31:AK40)</f>
        <v>0</v>
      </c>
      <c r="AL41" s="50">
        <f t="shared" si="26"/>
        <v>0</v>
      </c>
      <c r="AM41" s="50">
        <f t="shared" ref="AM41" si="28">SUBTOTAL(9,AM31:AM40)</f>
        <v>0</v>
      </c>
      <c r="AN41" s="50">
        <f t="shared" si="26"/>
        <v>0</v>
      </c>
      <c r="AO41" s="41"/>
      <c r="AP41" s="61">
        <f>SUBTOTAL(9,AP31:AP40)</f>
        <v>1192442.9889999998</v>
      </c>
      <c r="AQ41" s="41"/>
      <c r="AR41" s="258">
        <f>AP41-'FY21'!S41</f>
        <v>0</v>
      </c>
    </row>
    <row r="42" spans="3:44" s="37" customFormat="1" ht="12" x14ac:dyDescent="0.2">
      <c r="C42" s="49" t="s">
        <v>99</v>
      </c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41"/>
      <c r="AP42" s="59"/>
      <c r="AQ42" s="41"/>
      <c r="AR42" s="258">
        <f>AP42-'FY21'!S42</f>
        <v>0</v>
      </c>
    </row>
    <row r="43" spans="3:44" s="37" customFormat="1" ht="12" x14ac:dyDescent="0.2">
      <c r="C43" s="199">
        <v>6211</v>
      </c>
      <c r="D43" s="37" t="s">
        <v>198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39">
        <v>0</v>
      </c>
      <c r="R43" s="39">
        <v>0</v>
      </c>
      <c r="S43" s="39">
        <v>0</v>
      </c>
      <c r="T43" s="39">
        <v>0</v>
      </c>
      <c r="U43" s="39">
        <v>0</v>
      </c>
      <c r="V43" s="39">
        <v>0</v>
      </c>
      <c r="W43" s="39">
        <v>0</v>
      </c>
      <c r="X43" s="39">
        <v>0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0</v>
      </c>
      <c r="AE43" s="39">
        <v>0</v>
      </c>
      <c r="AF43" s="39">
        <v>0</v>
      </c>
      <c r="AG43" s="39">
        <v>0</v>
      </c>
      <c r="AH43" s="39">
        <v>0</v>
      </c>
      <c r="AI43" s="39">
        <v>0</v>
      </c>
      <c r="AJ43" s="39">
        <v>0</v>
      </c>
      <c r="AK43" s="39">
        <v>0</v>
      </c>
      <c r="AL43" s="39">
        <v>0</v>
      </c>
      <c r="AM43" s="39">
        <v>0</v>
      </c>
      <c r="AN43" s="39">
        <v>0</v>
      </c>
      <c r="AO43" s="41"/>
      <c r="AP43" s="59">
        <f t="shared" ref="AP43:AP61" si="29">SUM(E43:AO43)</f>
        <v>0</v>
      </c>
      <c r="AQ43" s="41"/>
      <c r="AR43" s="258">
        <f>AP43-'FY21'!S43</f>
        <v>0</v>
      </c>
    </row>
    <row r="44" spans="3:44" s="37" customFormat="1" ht="12" x14ac:dyDescent="0.2">
      <c r="C44" s="199">
        <v>6214</v>
      </c>
      <c r="D44" s="37" t="s">
        <v>199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70">
        <f>444*2</f>
        <v>888</v>
      </c>
      <c r="N44" s="370">
        <f>'FY21'!S44-M44</f>
        <v>888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  <c r="W44" s="39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39">
        <v>0</v>
      </c>
      <c r="AG44" s="39">
        <v>0</v>
      </c>
      <c r="AH44" s="39">
        <v>0</v>
      </c>
      <c r="AI44" s="39">
        <v>0</v>
      </c>
      <c r="AJ44" s="39">
        <v>0</v>
      </c>
      <c r="AK44" s="39">
        <v>0</v>
      </c>
      <c r="AL44" s="39">
        <v>0</v>
      </c>
      <c r="AM44" s="39">
        <v>0</v>
      </c>
      <c r="AN44" s="39">
        <v>0</v>
      </c>
      <c r="AO44" s="41"/>
      <c r="AP44" s="59">
        <f t="shared" si="29"/>
        <v>1776</v>
      </c>
      <c r="AQ44" s="41"/>
      <c r="AR44" s="258">
        <f>AP44-'FY21'!S44</f>
        <v>0</v>
      </c>
    </row>
    <row r="45" spans="3:44" s="37" customFormat="1" ht="12" x14ac:dyDescent="0.2">
      <c r="C45" s="199">
        <v>6217</v>
      </c>
      <c r="D45" s="37" t="s">
        <v>222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70">
        <f>'FY21'!S45</f>
        <v>3552</v>
      </c>
      <c r="P45" s="39">
        <v>0</v>
      </c>
      <c r="Q45" s="39">
        <v>0</v>
      </c>
      <c r="R45" s="39">
        <v>0</v>
      </c>
      <c r="S45" s="39">
        <v>0</v>
      </c>
      <c r="T45" s="39">
        <v>0</v>
      </c>
      <c r="U45" s="39">
        <v>0</v>
      </c>
      <c r="V45" s="39">
        <v>0</v>
      </c>
      <c r="W45" s="39">
        <v>0</v>
      </c>
      <c r="X45" s="39">
        <v>0</v>
      </c>
      <c r="Y45" s="39">
        <v>0</v>
      </c>
      <c r="Z45" s="39">
        <v>0</v>
      </c>
      <c r="AA45" s="39">
        <v>0</v>
      </c>
      <c r="AB45" s="39">
        <v>0</v>
      </c>
      <c r="AC45" s="39">
        <v>0</v>
      </c>
      <c r="AD45" s="39">
        <v>0</v>
      </c>
      <c r="AE45" s="39">
        <v>0</v>
      </c>
      <c r="AF45" s="39">
        <v>0</v>
      </c>
      <c r="AG45" s="39">
        <v>0</v>
      </c>
      <c r="AH45" s="39">
        <v>0</v>
      </c>
      <c r="AI45" s="39">
        <v>0</v>
      </c>
      <c r="AJ45" s="39">
        <v>0</v>
      </c>
      <c r="AK45" s="39">
        <v>0</v>
      </c>
      <c r="AL45" s="39">
        <v>0</v>
      </c>
      <c r="AM45" s="39">
        <v>0</v>
      </c>
      <c r="AN45" s="39">
        <v>0</v>
      </c>
      <c r="AO45" s="41"/>
      <c r="AP45" s="59">
        <f t="shared" si="29"/>
        <v>3552</v>
      </c>
      <c r="AQ45" s="41"/>
      <c r="AR45" s="258">
        <f>AP45-'FY21'!S45</f>
        <v>0</v>
      </c>
    </row>
    <row r="46" spans="3:44" s="37" customFormat="1" ht="12" x14ac:dyDescent="0.2">
      <c r="C46" s="199">
        <v>6227</v>
      </c>
      <c r="D46" s="37" t="s">
        <v>221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70">
        <f>'FY21'!S46</f>
        <v>2192.3200000000002</v>
      </c>
      <c r="P46" s="39">
        <v>0</v>
      </c>
      <c r="Q46" s="39">
        <v>0</v>
      </c>
      <c r="R46" s="39">
        <v>0</v>
      </c>
      <c r="S46" s="39">
        <v>0</v>
      </c>
      <c r="T46" s="39">
        <v>0</v>
      </c>
      <c r="U46" s="39">
        <v>0</v>
      </c>
      <c r="V46" s="39">
        <v>0</v>
      </c>
      <c r="W46" s="39">
        <v>0</v>
      </c>
      <c r="X46" s="39">
        <v>0</v>
      </c>
      <c r="Y46" s="39">
        <v>0</v>
      </c>
      <c r="Z46" s="39">
        <v>0</v>
      </c>
      <c r="AA46" s="39">
        <v>0</v>
      </c>
      <c r="AB46" s="39">
        <v>0</v>
      </c>
      <c r="AC46" s="39">
        <v>0</v>
      </c>
      <c r="AD46" s="39">
        <v>0</v>
      </c>
      <c r="AE46" s="39">
        <v>0</v>
      </c>
      <c r="AF46" s="39">
        <v>0</v>
      </c>
      <c r="AG46" s="39">
        <v>0</v>
      </c>
      <c r="AH46" s="39">
        <v>0</v>
      </c>
      <c r="AI46" s="39">
        <v>0</v>
      </c>
      <c r="AJ46" s="39">
        <v>0</v>
      </c>
      <c r="AK46" s="39">
        <v>0</v>
      </c>
      <c r="AL46" s="39">
        <v>0</v>
      </c>
      <c r="AM46" s="39">
        <v>0</v>
      </c>
      <c r="AN46" s="39">
        <v>0</v>
      </c>
      <c r="AO46" s="41"/>
      <c r="AP46" s="59">
        <f t="shared" si="29"/>
        <v>2192.3200000000002</v>
      </c>
      <c r="AQ46" s="41"/>
      <c r="AR46" s="258">
        <f>AP46-'FY21'!S46</f>
        <v>0</v>
      </c>
    </row>
    <row r="47" spans="3:44" s="37" customFormat="1" ht="12" x14ac:dyDescent="0.2">
      <c r="C47" s="199">
        <v>6231</v>
      </c>
      <c r="D47" s="37" t="s">
        <v>205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39">
        <v>0</v>
      </c>
      <c r="T47" s="39">
        <v>0</v>
      </c>
      <c r="U47" s="39">
        <v>0</v>
      </c>
      <c r="V47" s="39">
        <v>0</v>
      </c>
      <c r="W47" s="39">
        <v>0</v>
      </c>
      <c r="X47" s="39">
        <v>0</v>
      </c>
      <c r="Y47" s="39">
        <v>0</v>
      </c>
      <c r="Z47" s="39">
        <v>0</v>
      </c>
      <c r="AA47" s="39">
        <v>0</v>
      </c>
      <c r="AB47" s="39">
        <v>0</v>
      </c>
      <c r="AC47" s="39">
        <v>0</v>
      </c>
      <c r="AD47" s="39">
        <v>0</v>
      </c>
      <c r="AE47" s="39">
        <v>0</v>
      </c>
      <c r="AF47" s="39">
        <v>0</v>
      </c>
      <c r="AG47" s="39">
        <v>0</v>
      </c>
      <c r="AH47" s="39">
        <v>0</v>
      </c>
      <c r="AI47" s="39">
        <v>0</v>
      </c>
      <c r="AJ47" s="39">
        <v>0</v>
      </c>
      <c r="AK47" s="39">
        <v>0</v>
      </c>
      <c r="AL47" s="39">
        <v>0</v>
      </c>
      <c r="AM47" s="39">
        <v>0</v>
      </c>
      <c r="AN47" s="39">
        <v>0</v>
      </c>
      <c r="AO47" s="41"/>
      <c r="AP47" s="59">
        <f t="shared" si="29"/>
        <v>0</v>
      </c>
      <c r="AQ47" s="41"/>
      <c r="AR47" s="258">
        <f>AP47-'FY21'!S47</f>
        <v>0</v>
      </c>
    </row>
    <row r="48" spans="3:44" s="37" customFormat="1" ht="12" x14ac:dyDescent="0.2">
      <c r="C48" s="199">
        <v>6234</v>
      </c>
      <c r="D48" s="37" t="s">
        <v>206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70">
        <f>M32*0.2925</f>
        <v>78481.40625</v>
      </c>
      <c r="N48" s="370">
        <f>'FY21'!S48-M48</f>
        <v>49542.318000000028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39">
        <v>0</v>
      </c>
      <c r="U48" s="39">
        <v>0</v>
      </c>
      <c r="V48" s="39">
        <v>0</v>
      </c>
      <c r="W48" s="39">
        <v>0</v>
      </c>
      <c r="X48" s="39">
        <v>0</v>
      </c>
      <c r="Y48" s="39">
        <v>0</v>
      </c>
      <c r="Z48" s="39">
        <v>0</v>
      </c>
      <c r="AA48" s="39">
        <v>0</v>
      </c>
      <c r="AB48" s="39">
        <v>0</v>
      </c>
      <c r="AC48" s="39">
        <v>0</v>
      </c>
      <c r="AD48" s="39">
        <v>0</v>
      </c>
      <c r="AE48" s="39">
        <v>0</v>
      </c>
      <c r="AF48" s="39">
        <v>0</v>
      </c>
      <c r="AG48" s="39">
        <v>0</v>
      </c>
      <c r="AH48" s="39">
        <v>0</v>
      </c>
      <c r="AI48" s="39">
        <v>0</v>
      </c>
      <c r="AJ48" s="39">
        <v>0</v>
      </c>
      <c r="AK48" s="39">
        <v>0</v>
      </c>
      <c r="AL48" s="39">
        <v>0</v>
      </c>
      <c r="AM48" s="39">
        <v>0</v>
      </c>
      <c r="AN48" s="39">
        <v>0</v>
      </c>
      <c r="AO48" s="41"/>
      <c r="AP48" s="59">
        <f t="shared" si="29"/>
        <v>128023.72425000003</v>
      </c>
      <c r="AQ48" s="41"/>
      <c r="AR48" s="258">
        <f>AP48-'FY21'!S48</f>
        <v>0</v>
      </c>
    </row>
    <row r="49" spans="3:44" s="37" customFormat="1" ht="12" x14ac:dyDescent="0.2">
      <c r="C49" s="199">
        <v>6237</v>
      </c>
      <c r="D49" s="37" t="s">
        <v>223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70">
        <f>'FY21'!S49</f>
        <v>117882.8365725</v>
      </c>
      <c r="P49" s="39">
        <v>0</v>
      </c>
      <c r="Q49" s="39">
        <v>0</v>
      </c>
      <c r="R49" s="39">
        <v>0</v>
      </c>
      <c r="S49" s="39">
        <v>0</v>
      </c>
      <c r="T49" s="39">
        <v>0</v>
      </c>
      <c r="U49" s="39">
        <v>0</v>
      </c>
      <c r="V49" s="39">
        <v>0</v>
      </c>
      <c r="W49" s="39">
        <v>0</v>
      </c>
      <c r="X49" s="39">
        <v>0</v>
      </c>
      <c r="Y49" s="39">
        <v>0</v>
      </c>
      <c r="Z49" s="39">
        <v>0</v>
      </c>
      <c r="AA49" s="39">
        <v>0</v>
      </c>
      <c r="AB49" s="39">
        <v>0</v>
      </c>
      <c r="AC49" s="39">
        <v>0</v>
      </c>
      <c r="AD49" s="39">
        <v>0</v>
      </c>
      <c r="AE49" s="39">
        <v>0</v>
      </c>
      <c r="AF49" s="39">
        <v>0</v>
      </c>
      <c r="AG49" s="39">
        <v>0</v>
      </c>
      <c r="AH49" s="39">
        <v>0</v>
      </c>
      <c r="AI49" s="39">
        <v>0</v>
      </c>
      <c r="AJ49" s="39">
        <v>0</v>
      </c>
      <c r="AK49" s="39">
        <v>0</v>
      </c>
      <c r="AL49" s="39">
        <v>0</v>
      </c>
      <c r="AM49" s="39">
        <v>0</v>
      </c>
      <c r="AN49" s="39">
        <v>0</v>
      </c>
      <c r="AO49" s="41"/>
      <c r="AP49" s="59">
        <f t="shared" si="29"/>
        <v>117882.8365725</v>
      </c>
      <c r="AQ49" s="41"/>
      <c r="AR49" s="258">
        <f>AP49-'FY21'!S49</f>
        <v>0</v>
      </c>
    </row>
    <row r="50" spans="3:44" s="37" customFormat="1" ht="12" x14ac:dyDescent="0.2">
      <c r="C50" s="199">
        <v>6241</v>
      </c>
      <c r="D50" s="37" t="s">
        <v>196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  <c r="R50" s="39">
        <v>0</v>
      </c>
      <c r="S50" s="39">
        <v>0</v>
      </c>
      <c r="T50" s="39">
        <v>0</v>
      </c>
      <c r="U50" s="39">
        <v>0</v>
      </c>
      <c r="V50" s="39">
        <v>0</v>
      </c>
      <c r="W50" s="39">
        <v>0</v>
      </c>
      <c r="X50" s="39">
        <v>0</v>
      </c>
      <c r="Y50" s="39">
        <v>0</v>
      </c>
      <c r="Z50" s="39">
        <v>0</v>
      </c>
      <c r="AA50" s="39">
        <v>0</v>
      </c>
      <c r="AB50" s="39">
        <v>0</v>
      </c>
      <c r="AC50" s="39">
        <v>0</v>
      </c>
      <c r="AD50" s="39">
        <v>0</v>
      </c>
      <c r="AE50" s="39">
        <v>0</v>
      </c>
      <c r="AF50" s="39">
        <v>0</v>
      </c>
      <c r="AG50" s="39">
        <v>0</v>
      </c>
      <c r="AH50" s="39">
        <v>0</v>
      </c>
      <c r="AI50" s="39">
        <v>0</v>
      </c>
      <c r="AJ50" s="39">
        <v>0</v>
      </c>
      <c r="AK50" s="39">
        <v>0</v>
      </c>
      <c r="AL50" s="39">
        <v>0</v>
      </c>
      <c r="AM50" s="39">
        <v>0</v>
      </c>
      <c r="AN50" s="39">
        <v>0</v>
      </c>
      <c r="AO50" s="41"/>
      <c r="AP50" s="59">
        <f t="shared" si="29"/>
        <v>0</v>
      </c>
      <c r="AQ50" s="41"/>
      <c r="AR50" s="258">
        <f>AP50-'FY21'!S50</f>
        <v>0</v>
      </c>
    </row>
    <row r="51" spans="3:44" s="37" customFormat="1" ht="12" x14ac:dyDescent="0.2">
      <c r="C51" s="199">
        <v>6244</v>
      </c>
      <c r="D51" s="37" t="s">
        <v>197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70">
        <f>M41*0.0145</f>
        <v>4195.03125</v>
      </c>
      <c r="N51" s="370">
        <f>'FY21'!S51-M51</f>
        <v>3541.8454000000011</v>
      </c>
      <c r="O51" s="39">
        <v>0</v>
      </c>
      <c r="P51" s="39">
        <v>0</v>
      </c>
      <c r="Q51" s="39">
        <v>0</v>
      </c>
      <c r="R51" s="39">
        <v>0</v>
      </c>
      <c r="S51" s="39">
        <v>0</v>
      </c>
      <c r="T51" s="39">
        <v>0</v>
      </c>
      <c r="U51" s="39">
        <v>0</v>
      </c>
      <c r="V51" s="39">
        <v>0</v>
      </c>
      <c r="W51" s="39">
        <v>0</v>
      </c>
      <c r="X51" s="39">
        <v>0</v>
      </c>
      <c r="Y51" s="39">
        <v>0</v>
      </c>
      <c r="Z51" s="39">
        <v>0</v>
      </c>
      <c r="AA51" s="39">
        <v>0</v>
      </c>
      <c r="AB51" s="39">
        <v>0</v>
      </c>
      <c r="AC51" s="39">
        <v>0</v>
      </c>
      <c r="AD51" s="39">
        <v>0</v>
      </c>
      <c r="AE51" s="39">
        <v>0</v>
      </c>
      <c r="AF51" s="39">
        <v>0</v>
      </c>
      <c r="AG51" s="39">
        <v>0</v>
      </c>
      <c r="AH51" s="39">
        <v>0</v>
      </c>
      <c r="AI51" s="39">
        <v>0</v>
      </c>
      <c r="AJ51" s="39">
        <v>0</v>
      </c>
      <c r="AK51" s="39">
        <v>0</v>
      </c>
      <c r="AL51" s="39">
        <v>0</v>
      </c>
      <c r="AM51" s="39">
        <v>0</v>
      </c>
      <c r="AN51" s="39">
        <v>0</v>
      </c>
      <c r="AO51" s="41"/>
      <c r="AP51" s="59">
        <f t="shared" si="29"/>
        <v>7736.8766500000011</v>
      </c>
      <c r="AQ51" s="41"/>
      <c r="AR51" s="258">
        <f>AP51-'FY21'!S51</f>
        <v>0</v>
      </c>
    </row>
    <row r="52" spans="3:44" s="37" customFormat="1" ht="12" x14ac:dyDescent="0.2">
      <c r="C52" s="199">
        <v>6247</v>
      </c>
      <c r="D52" s="37" t="s">
        <v>224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70">
        <f>'FY21'!S52</f>
        <v>9553.5466904999994</v>
      </c>
      <c r="P52" s="39">
        <v>0</v>
      </c>
      <c r="Q52" s="39">
        <v>0</v>
      </c>
      <c r="R52" s="39">
        <v>0</v>
      </c>
      <c r="S52" s="39">
        <v>0</v>
      </c>
      <c r="T52" s="39">
        <v>0</v>
      </c>
      <c r="U52" s="39">
        <v>0</v>
      </c>
      <c r="V52" s="39">
        <v>0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0</v>
      </c>
      <c r="AE52" s="39">
        <v>0</v>
      </c>
      <c r="AF52" s="39">
        <v>0</v>
      </c>
      <c r="AG52" s="39">
        <v>0</v>
      </c>
      <c r="AH52" s="39">
        <v>0</v>
      </c>
      <c r="AI52" s="39">
        <v>0</v>
      </c>
      <c r="AJ52" s="39">
        <v>0</v>
      </c>
      <c r="AK52" s="39">
        <v>0</v>
      </c>
      <c r="AL52" s="39">
        <v>0</v>
      </c>
      <c r="AM52" s="39">
        <v>0</v>
      </c>
      <c r="AN52" s="39">
        <v>0</v>
      </c>
      <c r="AO52" s="41"/>
      <c r="AP52" s="59">
        <f t="shared" si="29"/>
        <v>9553.5466904999994</v>
      </c>
      <c r="AQ52" s="41"/>
      <c r="AR52" s="258">
        <f>AP52-'FY21'!S52</f>
        <v>0</v>
      </c>
    </row>
    <row r="53" spans="3:44" s="37" customFormat="1" ht="12" x14ac:dyDescent="0.2">
      <c r="C53" s="199">
        <v>6261</v>
      </c>
      <c r="D53" s="37" t="s">
        <v>207</v>
      </c>
      <c r="E53" s="39">
        <v>0</v>
      </c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39">
        <v>0</v>
      </c>
      <c r="Q53" s="39">
        <v>0</v>
      </c>
      <c r="R53" s="39">
        <v>0</v>
      </c>
      <c r="S53" s="39">
        <v>0</v>
      </c>
      <c r="T53" s="39">
        <v>0</v>
      </c>
      <c r="U53" s="39">
        <v>0</v>
      </c>
      <c r="V53" s="39">
        <v>0</v>
      </c>
      <c r="W53" s="39">
        <v>0</v>
      </c>
      <c r="X53" s="39">
        <v>0</v>
      </c>
      <c r="Y53" s="39">
        <v>0</v>
      </c>
      <c r="Z53" s="39">
        <v>0</v>
      </c>
      <c r="AA53" s="39">
        <v>0</v>
      </c>
      <c r="AB53" s="39">
        <v>0</v>
      </c>
      <c r="AC53" s="39">
        <v>0</v>
      </c>
      <c r="AD53" s="39">
        <v>0</v>
      </c>
      <c r="AE53" s="39">
        <v>0</v>
      </c>
      <c r="AF53" s="39">
        <v>0</v>
      </c>
      <c r="AG53" s="39">
        <v>0</v>
      </c>
      <c r="AH53" s="39">
        <v>0</v>
      </c>
      <c r="AI53" s="39">
        <v>0</v>
      </c>
      <c r="AJ53" s="39">
        <v>0</v>
      </c>
      <c r="AK53" s="39">
        <v>0</v>
      </c>
      <c r="AL53" s="39">
        <v>0</v>
      </c>
      <c r="AM53" s="39">
        <v>0</v>
      </c>
      <c r="AN53" s="39">
        <v>0</v>
      </c>
      <c r="AO53" s="41"/>
      <c r="AP53" s="59">
        <f t="shared" si="29"/>
        <v>0</v>
      </c>
      <c r="AQ53" s="41"/>
      <c r="AR53" s="258">
        <f>AP53-'FY21'!S53</f>
        <v>0</v>
      </c>
    </row>
    <row r="54" spans="3:44" s="37" customFormat="1" ht="12" x14ac:dyDescent="0.2">
      <c r="C54" s="199">
        <v>6264</v>
      </c>
      <c r="D54" s="37" t="s">
        <v>208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70">
        <f>32500*0.015*2</f>
        <v>975</v>
      </c>
      <c r="N54" s="370">
        <f>'FY21'!S54-M54</f>
        <v>897</v>
      </c>
      <c r="O54" s="39">
        <v>0</v>
      </c>
      <c r="P54" s="39">
        <v>0</v>
      </c>
      <c r="Q54" s="39">
        <v>0</v>
      </c>
      <c r="R54" s="39">
        <v>0</v>
      </c>
      <c r="S54" s="39">
        <v>0</v>
      </c>
      <c r="T54" s="39">
        <v>0</v>
      </c>
      <c r="U54" s="39">
        <v>0</v>
      </c>
      <c r="V54" s="39">
        <v>0</v>
      </c>
      <c r="W54" s="39">
        <v>0</v>
      </c>
      <c r="X54" s="39">
        <v>0</v>
      </c>
      <c r="Y54" s="39">
        <v>0</v>
      </c>
      <c r="Z54" s="39">
        <v>0</v>
      </c>
      <c r="AA54" s="39">
        <v>0</v>
      </c>
      <c r="AB54" s="39">
        <v>0</v>
      </c>
      <c r="AC54" s="39">
        <v>0</v>
      </c>
      <c r="AD54" s="39">
        <v>0</v>
      </c>
      <c r="AE54" s="39">
        <v>0</v>
      </c>
      <c r="AF54" s="39">
        <v>0</v>
      </c>
      <c r="AG54" s="39">
        <v>0</v>
      </c>
      <c r="AH54" s="39">
        <v>0</v>
      </c>
      <c r="AI54" s="39">
        <v>0</v>
      </c>
      <c r="AJ54" s="39">
        <v>0</v>
      </c>
      <c r="AK54" s="39">
        <v>0</v>
      </c>
      <c r="AL54" s="39">
        <v>0</v>
      </c>
      <c r="AM54" s="39">
        <v>0</v>
      </c>
      <c r="AN54" s="39">
        <v>0</v>
      </c>
      <c r="AO54" s="41"/>
      <c r="AP54" s="59">
        <f t="shared" si="29"/>
        <v>1872</v>
      </c>
      <c r="AQ54" s="41"/>
      <c r="AR54" s="258">
        <f>AP54-'FY21'!S54</f>
        <v>0</v>
      </c>
    </row>
    <row r="55" spans="3:44" s="37" customFormat="1" ht="12" x14ac:dyDescent="0.2">
      <c r="C55" s="199">
        <v>6267</v>
      </c>
      <c r="D55" s="37" t="s">
        <v>225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70">
        <f>'FY21'!S55</f>
        <v>4328.3999999999987</v>
      </c>
      <c r="P55" s="39">
        <v>0</v>
      </c>
      <c r="Q55" s="39">
        <v>0</v>
      </c>
      <c r="R55" s="39">
        <v>0</v>
      </c>
      <c r="S55" s="39">
        <v>0</v>
      </c>
      <c r="T55" s="39">
        <v>0</v>
      </c>
      <c r="U55" s="39">
        <v>0</v>
      </c>
      <c r="V55" s="39">
        <v>0</v>
      </c>
      <c r="W55" s="39">
        <v>0</v>
      </c>
      <c r="X55" s="39">
        <v>0</v>
      </c>
      <c r="Y55" s="39">
        <v>0</v>
      </c>
      <c r="Z55" s="39">
        <v>0</v>
      </c>
      <c r="AA55" s="39">
        <v>0</v>
      </c>
      <c r="AB55" s="39">
        <v>0</v>
      </c>
      <c r="AC55" s="39">
        <v>0</v>
      </c>
      <c r="AD55" s="39">
        <v>0</v>
      </c>
      <c r="AE55" s="39">
        <v>0</v>
      </c>
      <c r="AF55" s="39">
        <v>0</v>
      </c>
      <c r="AG55" s="39">
        <v>0</v>
      </c>
      <c r="AH55" s="39">
        <v>0</v>
      </c>
      <c r="AI55" s="39">
        <v>0</v>
      </c>
      <c r="AJ55" s="39">
        <v>0</v>
      </c>
      <c r="AK55" s="39">
        <v>0</v>
      </c>
      <c r="AL55" s="39">
        <v>0</v>
      </c>
      <c r="AM55" s="39">
        <v>0</v>
      </c>
      <c r="AN55" s="39">
        <v>0</v>
      </c>
      <c r="AO55" s="41"/>
      <c r="AP55" s="59">
        <f t="shared" si="29"/>
        <v>4328.3999999999987</v>
      </c>
      <c r="AQ55" s="41"/>
      <c r="AR55" s="258">
        <f>AP55-'FY21'!S55</f>
        <v>0</v>
      </c>
    </row>
    <row r="56" spans="3:44" s="37" customFormat="1" ht="12" x14ac:dyDescent="0.2">
      <c r="C56" s="199">
        <v>6271</v>
      </c>
      <c r="D56" s="37" t="s">
        <v>209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39">
        <v>0</v>
      </c>
      <c r="R56" s="39">
        <v>0</v>
      </c>
      <c r="S56" s="39">
        <v>0</v>
      </c>
      <c r="T56" s="39">
        <v>0</v>
      </c>
      <c r="U56" s="39">
        <v>0</v>
      </c>
      <c r="V56" s="39">
        <v>0</v>
      </c>
      <c r="W56" s="39">
        <v>0</v>
      </c>
      <c r="X56" s="39">
        <v>0</v>
      </c>
      <c r="Y56" s="39">
        <v>0</v>
      </c>
      <c r="Z56" s="39">
        <v>0</v>
      </c>
      <c r="AA56" s="39">
        <v>0</v>
      </c>
      <c r="AB56" s="39">
        <v>0</v>
      </c>
      <c r="AC56" s="39">
        <v>0</v>
      </c>
      <c r="AD56" s="39">
        <v>0</v>
      </c>
      <c r="AE56" s="39">
        <v>0</v>
      </c>
      <c r="AF56" s="39">
        <v>0</v>
      </c>
      <c r="AG56" s="39">
        <v>0</v>
      </c>
      <c r="AH56" s="39">
        <v>0</v>
      </c>
      <c r="AI56" s="39">
        <v>0</v>
      </c>
      <c r="AJ56" s="39">
        <v>0</v>
      </c>
      <c r="AK56" s="39">
        <v>0</v>
      </c>
      <c r="AL56" s="39">
        <v>0</v>
      </c>
      <c r="AM56" s="39">
        <v>0</v>
      </c>
      <c r="AN56" s="39">
        <v>0</v>
      </c>
      <c r="AO56" s="41"/>
      <c r="AP56" s="59">
        <f t="shared" si="29"/>
        <v>0</v>
      </c>
      <c r="AQ56" s="41"/>
      <c r="AR56" s="258">
        <f>AP56-'FY21'!S56</f>
        <v>0</v>
      </c>
    </row>
    <row r="57" spans="3:44" s="37" customFormat="1" ht="12" x14ac:dyDescent="0.2">
      <c r="C57" s="199">
        <v>6274</v>
      </c>
      <c r="D57" s="37" t="s">
        <v>210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70">
        <f>M41*0.0075</f>
        <v>2169.84375</v>
      </c>
      <c r="N57" s="370">
        <f>'FY21'!S57-M57</f>
        <v>1831.989</v>
      </c>
      <c r="O57" s="39">
        <v>0</v>
      </c>
      <c r="P57" s="39">
        <v>0</v>
      </c>
      <c r="Q57" s="39">
        <v>0</v>
      </c>
      <c r="R57" s="39">
        <v>0</v>
      </c>
      <c r="S57" s="39">
        <v>0</v>
      </c>
      <c r="T57" s="39">
        <v>0</v>
      </c>
      <c r="U57" s="39">
        <v>0</v>
      </c>
      <c r="V57" s="39">
        <v>0</v>
      </c>
      <c r="W57" s="39">
        <v>0</v>
      </c>
      <c r="X57" s="39">
        <v>0</v>
      </c>
      <c r="Y57" s="39">
        <v>0</v>
      </c>
      <c r="Z57" s="39">
        <v>0</v>
      </c>
      <c r="AA57" s="39">
        <v>0</v>
      </c>
      <c r="AB57" s="39">
        <v>0</v>
      </c>
      <c r="AC57" s="39">
        <v>0</v>
      </c>
      <c r="AD57" s="39">
        <v>0</v>
      </c>
      <c r="AE57" s="39">
        <v>0</v>
      </c>
      <c r="AF57" s="39">
        <v>0</v>
      </c>
      <c r="AG57" s="39">
        <v>0</v>
      </c>
      <c r="AH57" s="39">
        <v>0</v>
      </c>
      <c r="AI57" s="39">
        <v>0</v>
      </c>
      <c r="AJ57" s="39">
        <v>0</v>
      </c>
      <c r="AK57" s="39">
        <v>0</v>
      </c>
      <c r="AL57" s="39">
        <v>0</v>
      </c>
      <c r="AM57" s="39">
        <v>0</v>
      </c>
      <c r="AN57" s="39">
        <v>0</v>
      </c>
      <c r="AO57" s="41"/>
      <c r="AP57" s="59">
        <f t="shared" si="29"/>
        <v>4001.83275</v>
      </c>
      <c r="AQ57" s="41"/>
      <c r="AR57" s="258">
        <f>AP57-'FY21'!S57</f>
        <v>0</v>
      </c>
    </row>
    <row r="58" spans="3:44" s="37" customFormat="1" ht="12" x14ac:dyDescent="0.2">
      <c r="C58" s="199">
        <v>6277</v>
      </c>
      <c r="D58" s="37" t="s">
        <v>226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70">
        <f>'FY21'!S58</f>
        <v>4867.2396674999991</v>
      </c>
      <c r="P58" s="39">
        <v>0</v>
      </c>
      <c r="Q58" s="39">
        <v>0</v>
      </c>
      <c r="R58" s="39">
        <v>0</v>
      </c>
      <c r="S58" s="39">
        <v>0</v>
      </c>
      <c r="T58" s="39">
        <v>0</v>
      </c>
      <c r="U58" s="39">
        <v>0</v>
      </c>
      <c r="V58" s="39">
        <v>0</v>
      </c>
      <c r="W58" s="39">
        <v>0</v>
      </c>
      <c r="X58" s="39">
        <v>0</v>
      </c>
      <c r="Y58" s="39">
        <v>0</v>
      </c>
      <c r="Z58" s="39">
        <v>0</v>
      </c>
      <c r="AA58" s="39">
        <v>0</v>
      </c>
      <c r="AB58" s="39">
        <v>0</v>
      </c>
      <c r="AC58" s="39">
        <v>0</v>
      </c>
      <c r="AD58" s="39">
        <v>0</v>
      </c>
      <c r="AE58" s="39">
        <v>0</v>
      </c>
      <c r="AF58" s="39">
        <v>0</v>
      </c>
      <c r="AG58" s="39">
        <v>0</v>
      </c>
      <c r="AH58" s="39">
        <v>0</v>
      </c>
      <c r="AI58" s="39">
        <v>0</v>
      </c>
      <c r="AJ58" s="39">
        <v>0</v>
      </c>
      <c r="AK58" s="39">
        <v>0</v>
      </c>
      <c r="AL58" s="39">
        <v>0</v>
      </c>
      <c r="AM58" s="39">
        <v>0</v>
      </c>
      <c r="AN58" s="39">
        <v>0</v>
      </c>
      <c r="AO58" s="41"/>
      <c r="AP58" s="59">
        <f t="shared" si="29"/>
        <v>4867.2396674999991</v>
      </c>
      <c r="AQ58" s="41"/>
      <c r="AR58" s="258">
        <f>AP58-'FY21'!S58</f>
        <v>0</v>
      </c>
    </row>
    <row r="59" spans="3:44" s="37" customFormat="1" ht="12" x14ac:dyDescent="0.2">
      <c r="C59" s="199">
        <v>6281</v>
      </c>
      <c r="D59" s="37" t="s">
        <v>193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39">
        <v>0</v>
      </c>
      <c r="R59" s="39">
        <v>0</v>
      </c>
      <c r="S59" s="39">
        <v>0</v>
      </c>
      <c r="T59" s="39">
        <v>0</v>
      </c>
      <c r="U59" s="39">
        <v>0</v>
      </c>
      <c r="V59" s="39">
        <v>0</v>
      </c>
      <c r="W59" s="39">
        <v>0</v>
      </c>
      <c r="X59" s="39">
        <v>0</v>
      </c>
      <c r="Y59" s="39">
        <v>0</v>
      </c>
      <c r="Z59" s="39">
        <v>0</v>
      </c>
      <c r="AA59" s="39">
        <v>0</v>
      </c>
      <c r="AB59" s="39">
        <v>0</v>
      </c>
      <c r="AC59" s="39">
        <v>0</v>
      </c>
      <c r="AD59" s="39">
        <v>0</v>
      </c>
      <c r="AE59" s="39">
        <v>0</v>
      </c>
      <c r="AF59" s="39">
        <v>0</v>
      </c>
      <c r="AG59" s="39">
        <v>0</v>
      </c>
      <c r="AH59" s="39">
        <v>0</v>
      </c>
      <c r="AI59" s="39">
        <v>0</v>
      </c>
      <c r="AJ59" s="39">
        <v>0</v>
      </c>
      <c r="AK59" s="39">
        <v>0</v>
      </c>
      <c r="AL59" s="39">
        <v>0</v>
      </c>
      <c r="AM59" s="39">
        <v>0</v>
      </c>
      <c r="AN59" s="39">
        <v>0</v>
      </c>
      <c r="AO59" s="41"/>
      <c r="AP59" s="59">
        <f t="shared" si="29"/>
        <v>0</v>
      </c>
      <c r="AQ59" s="41"/>
      <c r="AR59" s="258">
        <f>AP59-'FY21'!S59</f>
        <v>0</v>
      </c>
    </row>
    <row r="60" spans="3:44" s="37" customFormat="1" ht="12" x14ac:dyDescent="0.2">
      <c r="C60" s="199">
        <v>6284</v>
      </c>
      <c r="D60" s="37" t="s">
        <v>194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70">
        <f>Payroll!K135*2</f>
        <v>9720</v>
      </c>
      <c r="N60" s="370">
        <f>'FY21'!S60-M60</f>
        <v>9720</v>
      </c>
      <c r="O60" s="39">
        <v>0</v>
      </c>
      <c r="P60" s="39">
        <v>0</v>
      </c>
      <c r="Q60" s="39">
        <v>0</v>
      </c>
      <c r="R60" s="39">
        <v>0</v>
      </c>
      <c r="S60" s="39">
        <v>0</v>
      </c>
      <c r="T60" s="39">
        <v>0</v>
      </c>
      <c r="U60" s="39">
        <v>0</v>
      </c>
      <c r="V60" s="39">
        <v>0</v>
      </c>
      <c r="W60" s="39">
        <v>0</v>
      </c>
      <c r="X60" s="39">
        <v>0</v>
      </c>
      <c r="Y60" s="39">
        <v>0</v>
      </c>
      <c r="Z60" s="39">
        <v>0</v>
      </c>
      <c r="AA60" s="39">
        <v>0</v>
      </c>
      <c r="AB60" s="39">
        <v>0</v>
      </c>
      <c r="AC60" s="39">
        <v>0</v>
      </c>
      <c r="AD60" s="39">
        <v>0</v>
      </c>
      <c r="AE60" s="39">
        <v>0</v>
      </c>
      <c r="AF60" s="39">
        <v>0</v>
      </c>
      <c r="AG60" s="39">
        <v>0</v>
      </c>
      <c r="AH60" s="39">
        <v>0</v>
      </c>
      <c r="AI60" s="39">
        <v>0</v>
      </c>
      <c r="AJ60" s="39">
        <v>0</v>
      </c>
      <c r="AK60" s="39">
        <v>0</v>
      </c>
      <c r="AL60" s="39">
        <v>0</v>
      </c>
      <c r="AM60" s="39">
        <v>0</v>
      </c>
      <c r="AN60" s="39">
        <v>0</v>
      </c>
      <c r="AO60" s="41"/>
      <c r="AP60" s="59">
        <f t="shared" si="29"/>
        <v>19440</v>
      </c>
      <c r="AQ60" s="41"/>
      <c r="AR60" s="258">
        <f>AP60-'FY21'!S60</f>
        <v>0</v>
      </c>
    </row>
    <row r="61" spans="3:44" s="37" customFormat="1" ht="12" x14ac:dyDescent="0.2">
      <c r="C61" s="199">
        <v>6287</v>
      </c>
      <c r="D61" s="37" t="s">
        <v>227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70">
        <f>'FY21'!S61</f>
        <v>38880</v>
      </c>
      <c r="P61" s="39">
        <v>0</v>
      </c>
      <c r="Q61" s="39">
        <v>0</v>
      </c>
      <c r="R61" s="39">
        <v>0</v>
      </c>
      <c r="S61" s="39">
        <v>0</v>
      </c>
      <c r="T61" s="39">
        <v>0</v>
      </c>
      <c r="U61" s="39">
        <v>0</v>
      </c>
      <c r="V61" s="39">
        <v>0</v>
      </c>
      <c r="W61" s="39">
        <v>0</v>
      </c>
      <c r="X61" s="39">
        <v>0</v>
      </c>
      <c r="Y61" s="39">
        <v>0</v>
      </c>
      <c r="Z61" s="39">
        <v>0</v>
      </c>
      <c r="AA61" s="39">
        <v>0</v>
      </c>
      <c r="AB61" s="39">
        <v>0</v>
      </c>
      <c r="AC61" s="39">
        <v>0</v>
      </c>
      <c r="AD61" s="39">
        <v>0</v>
      </c>
      <c r="AE61" s="39">
        <v>0</v>
      </c>
      <c r="AF61" s="39">
        <v>0</v>
      </c>
      <c r="AG61" s="39">
        <v>0</v>
      </c>
      <c r="AH61" s="39">
        <v>0</v>
      </c>
      <c r="AI61" s="39">
        <v>0</v>
      </c>
      <c r="AJ61" s="39">
        <v>0</v>
      </c>
      <c r="AK61" s="39">
        <v>0</v>
      </c>
      <c r="AL61" s="39">
        <v>0</v>
      </c>
      <c r="AM61" s="39">
        <v>0</v>
      </c>
      <c r="AN61" s="39">
        <v>0</v>
      </c>
      <c r="AO61" s="41"/>
      <c r="AP61" s="59">
        <f t="shared" si="29"/>
        <v>38880</v>
      </c>
      <c r="AQ61" s="41"/>
      <c r="AR61" s="258">
        <f>AP61-'FY21'!S61</f>
        <v>0</v>
      </c>
    </row>
    <row r="62" spans="3:44" s="37" customFormat="1" ht="12" x14ac:dyDescent="0.2">
      <c r="C62" s="38"/>
      <c r="E62" s="50">
        <f t="shared" ref="E62:AN62" si="30">SUBTOTAL(9,E43:E61)</f>
        <v>0</v>
      </c>
      <c r="F62" s="50">
        <f t="shared" si="30"/>
        <v>0</v>
      </c>
      <c r="G62" s="50">
        <f t="shared" si="30"/>
        <v>0</v>
      </c>
      <c r="H62" s="50">
        <f t="shared" si="30"/>
        <v>0</v>
      </c>
      <c r="I62" s="50">
        <f t="shared" si="30"/>
        <v>0</v>
      </c>
      <c r="J62" s="50">
        <f t="shared" si="30"/>
        <v>0</v>
      </c>
      <c r="K62" s="50">
        <f t="shared" si="30"/>
        <v>0</v>
      </c>
      <c r="L62" s="50">
        <f t="shared" si="30"/>
        <v>0</v>
      </c>
      <c r="M62" s="50">
        <f t="shared" si="30"/>
        <v>96429.28125</v>
      </c>
      <c r="N62" s="50">
        <f t="shared" si="30"/>
        <v>66421.152400000021</v>
      </c>
      <c r="O62" s="50">
        <f t="shared" si="30"/>
        <v>181256.34293049999</v>
      </c>
      <c r="P62" s="50">
        <f t="shared" si="30"/>
        <v>0</v>
      </c>
      <c r="Q62" s="50">
        <f t="shared" si="30"/>
        <v>0</v>
      </c>
      <c r="R62" s="50">
        <f t="shared" si="30"/>
        <v>0</v>
      </c>
      <c r="S62" s="50">
        <f t="shared" si="30"/>
        <v>0</v>
      </c>
      <c r="T62" s="50">
        <f t="shared" si="30"/>
        <v>0</v>
      </c>
      <c r="U62" s="50">
        <f t="shared" si="30"/>
        <v>0</v>
      </c>
      <c r="V62" s="50">
        <f t="shared" si="30"/>
        <v>0</v>
      </c>
      <c r="W62" s="50">
        <f t="shared" si="30"/>
        <v>0</v>
      </c>
      <c r="X62" s="50">
        <f t="shared" si="30"/>
        <v>0</v>
      </c>
      <c r="Y62" s="50">
        <f t="shared" si="30"/>
        <v>0</v>
      </c>
      <c r="Z62" s="50">
        <f t="shared" si="30"/>
        <v>0</v>
      </c>
      <c r="AA62" s="50">
        <f t="shared" si="30"/>
        <v>0</v>
      </c>
      <c r="AB62" s="50">
        <f t="shared" si="30"/>
        <v>0</v>
      </c>
      <c r="AC62" s="50">
        <f t="shared" si="30"/>
        <v>0</v>
      </c>
      <c r="AD62" s="50">
        <f t="shared" si="30"/>
        <v>0</v>
      </c>
      <c r="AE62" s="50">
        <f t="shared" si="30"/>
        <v>0</v>
      </c>
      <c r="AF62" s="50">
        <f t="shared" si="30"/>
        <v>0</v>
      </c>
      <c r="AG62" s="50">
        <f t="shared" si="30"/>
        <v>0</v>
      </c>
      <c r="AH62" s="50">
        <f t="shared" si="30"/>
        <v>0</v>
      </c>
      <c r="AI62" s="50">
        <f t="shared" si="30"/>
        <v>0</v>
      </c>
      <c r="AJ62" s="50">
        <f t="shared" si="30"/>
        <v>0</v>
      </c>
      <c r="AK62" s="50">
        <f t="shared" ref="AK62" si="31">SUBTOTAL(9,AK43:AK61)</f>
        <v>0</v>
      </c>
      <c r="AL62" s="50">
        <f t="shared" si="30"/>
        <v>0</v>
      </c>
      <c r="AM62" s="50">
        <f t="shared" ref="AM62" si="32">SUBTOTAL(9,AM43:AM61)</f>
        <v>0</v>
      </c>
      <c r="AN62" s="50">
        <f t="shared" si="30"/>
        <v>0</v>
      </c>
      <c r="AO62" s="41"/>
      <c r="AP62" s="61">
        <f>SUBTOTAL(9,AP43:AP61)</f>
        <v>344106.77658050007</v>
      </c>
      <c r="AQ62" s="41"/>
      <c r="AR62" s="258">
        <f>AP62-'FY21'!S62</f>
        <v>0</v>
      </c>
    </row>
    <row r="63" spans="3:44" s="37" customFormat="1" ht="12" x14ac:dyDescent="0.2">
      <c r="C63" s="49" t="s">
        <v>9</v>
      </c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41"/>
      <c r="AP63" s="59"/>
      <c r="AQ63" s="41"/>
      <c r="AR63" s="258">
        <f>AP63-'FY21'!S63</f>
        <v>0</v>
      </c>
    </row>
    <row r="64" spans="3:44" s="37" customFormat="1" ht="12" x14ac:dyDescent="0.2">
      <c r="C64" s="199">
        <v>6300</v>
      </c>
      <c r="D64" s="37" t="s">
        <v>9</v>
      </c>
      <c r="E64" s="39">
        <f>SUMIF('Exp Details'!$D$8:$D$18,'Function-Grant'!E$4,'Exp Details'!$H$8:$H$18)</f>
        <v>0</v>
      </c>
      <c r="F64" s="370">
        <f>SUMIF('Exp Details'!$D$8:$D$18,'Function-Grant'!F$4,'Exp Details'!$H$8:$H$18)</f>
        <v>17565</v>
      </c>
      <c r="G64" s="39">
        <f>SUMIF('Exp Details'!$D$8:$D$18,'Function-Grant'!G$4,'Exp Details'!$H$8:$H$18)</f>
        <v>0</v>
      </c>
      <c r="H64" s="39">
        <f>SUMIF('Exp Details'!$D$8:$D$18,'Function-Grant'!H$4,'Exp Details'!$H$8:$H$18)</f>
        <v>0</v>
      </c>
      <c r="I64" s="39">
        <f>SUMIF('Exp Details'!$D$8:$D$18,'Function-Grant'!I$4,'Exp Details'!$H$8:$H$18)</f>
        <v>0</v>
      </c>
      <c r="J64" s="39">
        <f>SUMIF('Exp Details'!$D$8:$D$18,'Function-Grant'!J$4,'Exp Details'!$H$8:$H$18)</f>
        <v>0</v>
      </c>
      <c r="K64" s="39">
        <f>SUMIF('Exp Details'!$D$8:$D$18,'Function-Grant'!K$4,'Exp Details'!$H$8:$H$18)</f>
        <v>0</v>
      </c>
      <c r="L64" s="39">
        <f>SUMIF('Exp Details'!$D$8:$D$18,'Function-Grant'!L$4,'Exp Details'!$H$8:$H$18)</f>
        <v>0</v>
      </c>
      <c r="M64" s="39">
        <f>SUMIF('Exp Details'!$D$8:$D$18,'Function-Grant'!M$4,'Exp Details'!$H$8:$H$18)</f>
        <v>0</v>
      </c>
      <c r="N64" s="370">
        <f>SUMIF('Exp Details'!$D$8:$D$18,'Function-Grant'!N$4,'Exp Details'!$H$8:$H$18)</f>
        <v>0</v>
      </c>
      <c r="O64" s="370">
        <f>SUMIF('Exp Details'!$D$8:$D$18,'Function-Grant'!O$4,'Exp Details'!$H$8:$H$18)</f>
        <v>28050</v>
      </c>
      <c r="P64" s="39">
        <f>SUMIF('Exp Details'!$D$8:$D$18,'Function-Grant'!P$4,'Exp Details'!$H$8:$H$18)</f>
        <v>0</v>
      </c>
      <c r="Q64" s="39">
        <f>SUMIF('Exp Details'!$D$8:$D$18,'Function-Grant'!Q$4,'Exp Details'!$H$8:$H$18)</f>
        <v>0</v>
      </c>
      <c r="R64" s="39">
        <f>SUMIF('Exp Details'!$D$8:$D$18,'Function-Grant'!R$4,'Exp Details'!$H$8:$H$18)</f>
        <v>0</v>
      </c>
      <c r="S64" s="39">
        <f>SUMIF('Exp Details'!$D$8:$D$18,'Function-Grant'!S$4,'Exp Details'!$H$8:$H$18)</f>
        <v>0</v>
      </c>
      <c r="T64" s="39">
        <f>SUMIF('Exp Details'!$D$8:$D$18,'Function-Grant'!T$4,'Exp Details'!$H$8:$H$18)</f>
        <v>0</v>
      </c>
      <c r="U64" s="39">
        <f>SUMIF('Exp Details'!$D$8:$D$18,'Function-Grant'!U$4,'Exp Details'!$H$8:$H$18)</f>
        <v>0</v>
      </c>
      <c r="V64" s="39">
        <f>SUMIF('Exp Details'!$D$8:$D$18,'Function-Grant'!V$4,'Exp Details'!$H$8:$H$18)</f>
        <v>0</v>
      </c>
      <c r="W64" s="39">
        <f>SUMIF('Exp Details'!$D$8:$D$18,'Function-Grant'!W$4,'Exp Details'!$H$8:$H$18)</f>
        <v>0</v>
      </c>
      <c r="X64" s="39">
        <f>SUMIF('Exp Details'!$D$8:$D$18,'Function-Grant'!X$4,'Exp Details'!$H$8:$H$18)</f>
        <v>0</v>
      </c>
      <c r="Y64" s="39">
        <f>SUMIF('Exp Details'!$D$8:$D$18,'Function-Grant'!Y$4,'Exp Details'!$H$8:$H$18)</f>
        <v>0</v>
      </c>
      <c r="Z64" s="39">
        <f>SUMIF('Exp Details'!$D$8:$D$18,'Function-Grant'!Z$4,'Exp Details'!$H$8:$H$18)</f>
        <v>0</v>
      </c>
      <c r="AA64" s="39">
        <f>SUMIF('Exp Details'!$D$8:$D$18,'Function-Grant'!AA$4,'Exp Details'!$H$8:$H$18)</f>
        <v>0</v>
      </c>
      <c r="AB64" s="39">
        <f>SUMIF('Exp Details'!$D$8:$D$18,'Function-Grant'!AB$4,'Exp Details'!$H$8:$H$18)</f>
        <v>0</v>
      </c>
      <c r="AC64" s="39">
        <f>SUMIF('Exp Details'!$D$8:$D$18,'Function-Grant'!AC$4,'Exp Details'!$H$8:$H$18)</f>
        <v>0</v>
      </c>
      <c r="AD64" s="39">
        <f>SUMIF('Exp Details'!$D$8:$D$18,'Function-Grant'!AD$4,'Exp Details'!$H$8:$H$18)</f>
        <v>0</v>
      </c>
      <c r="AE64" s="39">
        <f>SUMIF('Exp Details'!$D$8:$D$18,'Function-Grant'!AE$4,'Exp Details'!$H$8:$H$18)</f>
        <v>0</v>
      </c>
      <c r="AF64" s="39">
        <f>SUMIF('Exp Details'!$D$8:$D$18,'Function-Grant'!AF$4,'Exp Details'!$H$8:$H$18)</f>
        <v>0</v>
      </c>
      <c r="AG64" s="39">
        <f>SUMIF('Exp Details'!$D$8:$D$18,'Function-Grant'!AG$4,'Exp Details'!$H$8:$H$18)</f>
        <v>0</v>
      </c>
      <c r="AH64" s="39">
        <f>SUMIF('Exp Details'!$D$8:$D$18,'Function-Grant'!AH$4,'Exp Details'!$H$8:$H$18)</f>
        <v>0</v>
      </c>
      <c r="AI64" s="39">
        <f>SUMIF('Exp Details'!$D$8:$D$18,'Function-Grant'!AI$4,'Exp Details'!$H$8:$H$18)</f>
        <v>0</v>
      </c>
      <c r="AJ64" s="370">
        <f>SUMIF('Exp Details'!$D$8:$D$18,'Function-Grant'!AJ$4,'Exp Details'!$H$8:$H$18)</f>
        <v>7000</v>
      </c>
      <c r="AK64" s="39">
        <f>SUMIF('Exp Details'!$D$8:$D$18,'Function-Grant'!AK$4,'Exp Details'!$H$8:$H$18)</f>
        <v>0</v>
      </c>
      <c r="AL64" s="39">
        <f>SUMIF('Exp Details'!$D$8:$D$18,'Function-Grant'!AL$4,'Exp Details'!$H$8:$H$18)</f>
        <v>0</v>
      </c>
      <c r="AM64" s="39">
        <f>SUMIF('Exp Details'!$D$8:$D$18,'Function-Grant'!AM$4,'Exp Details'!$H$8:$H$18)</f>
        <v>0</v>
      </c>
      <c r="AN64" s="39">
        <f>SUMIF('Exp Details'!$D$8:$D$18,'Function-Grant'!AN$4,'Exp Details'!$H$8:$H$18)</f>
        <v>0</v>
      </c>
      <c r="AO64" s="41"/>
      <c r="AP64" s="59">
        <f t="shared" ref="AP64:AP73" si="33">SUM(E64:AO64)</f>
        <v>52615</v>
      </c>
      <c r="AQ64" s="41"/>
      <c r="AR64" s="258">
        <f>AP64-'FY21'!S64</f>
        <v>0</v>
      </c>
    </row>
    <row r="65" spans="3:44" s="37" customFormat="1" ht="12" x14ac:dyDescent="0.2">
      <c r="C65" s="199">
        <v>6320</v>
      </c>
      <c r="D65" s="37" t="s">
        <v>10</v>
      </c>
      <c r="E65" s="39">
        <f>SUMIF('Exp Details'!$D$22:$D$27,'Function-Grant'!E$4,'Exp Details'!$H$22:$H$27)</f>
        <v>0</v>
      </c>
      <c r="F65" s="39">
        <f>SUMIF('Exp Details'!$D$22:$D$27,'Function-Grant'!F$4,'Exp Details'!$H$22:$H$27)</f>
        <v>0</v>
      </c>
      <c r="G65" s="39">
        <f>SUMIF('Exp Details'!$D$22:$D$27,'Function-Grant'!G$4,'Exp Details'!$H$22:$H$27)</f>
        <v>0</v>
      </c>
      <c r="H65" s="39">
        <f>SUMIF('Exp Details'!$D$22:$D$27,'Function-Grant'!H$4,'Exp Details'!$H$22:$H$27)</f>
        <v>48000</v>
      </c>
      <c r="I65" s="39">
        <f>SUMIF('Exp Details'!$D$22:$D$27,'Function-Grant'!I$4,'Exp Details'!$H$22:$H$27)</f>
        <v>1875</v>
      </c>
      <c r="J65" s="370">
        <f>SUMIF('Exp Details'!$D$22:$D$27,'Function-Grant'!J$4,'Exp Details'!$H$22:$H$27)</f>
        <v>0</v>
      </c>
      <c r="K65" s="39">
        <f>SUMIF('Exp Details'!$D$22:$D$27,'Function-Grant'!K$4,'Exp Details'!$H$22:$H$27)</f>
        <v>0</v>
      </c>
      <c r="L65" s="39">
        <f>SUMIF('Exp Details'!$D$22:$D$27,'Function-Grant'!L$4,'Exp Details'!$H$22:$H$27)</f>
        <v>0</v>
      </c>
      <c r="M65" s="39">
        <f>SUMIF('Exp Details'!$D$22:$D$27,'Function-Grant'!M$4,'Exp Details'!$H$22:$H$27)</f>
        <v>0</v>
      </c>
      <c r="N65" s="39">
        <f>SUMIF('Exp Details'!$D$22:$D$27,'Function-Grant'!N$4,'Exp Details'!$H$22:$H$27)</f>
        <v>0</v>
      </c>
      <c r="O65" s="39">
        <f>SUMIF('Exp Details'!$D$22:$D$27,'Function-Grant'!O$4,'Exp Details'!$H$22:$H$27)</f>
        <v>0</v>
      </c>
      <c r="P65" s="39">
        <f>SUMIF('Exp Details'!$D$22:$D$27,'Function-Grant'!P$4,'Exp Details'!$H$22:$H$27)</f>
        <v>0</v>
      </c>
      <c r="Q65" s="39">
        <f>SUMIF('Exp Details'!$D$22:$D$27,'Function-Grant'!Q$4,'Exp Details'!$H$22:$H$27)</f>
        <v>0</v>
      </c>
      <c r="R65" s="39">
        <f>SUMIF('Exp Details'!$D$22:$D$27,'Function-Grant'!R$4,'Exp Details'!$H$22:$H$27)</f>
        <v>0</v>
      </c>
      <c r="S65" s="39">
        <f>SUMIF('Exp Details'!$D$22:$D$27,'Function-Grant'!S$4,'Exp Details'!$H$22:$H$27)</f>
        <v>0</v>
      </c>
      <c r="T65" s="39">
        <f>SUMIF('Exp Details'!$D$22:$D$27,'Function-Grant'!T$4,'Exp Details'!$H$22:$H$27)</f>
        <v>0</v>
      </c>
      <c r="U65" s="39">
        <f>SUMIF('Exp Details'!$D$22:$D$27,'Function-Grant'!U$4,'Exp Details'!$H$22:$H$27)</f>
        <v>0</v>
      </c>
      <c r="V65" s="39">
        <f>SUMIF('Exp Details'!$D$22:$D$27,'Function-Grant'!V$4,'Exp Details'!$H$22:$H$27)</f>
        <v>0</v>
      </c>
      <c r="W65" s="39">
        <f>SUMIF('Exp Details'!$D$22:$D$27,'Function-Grant'!W$4,'Exp Details'!$H$22:$H$27)</f>
        <v>0</v>
      </c>
      <c r="X65" s="39">
        <f>SUMIF('Exp Details'!$D$22:$D$27,'Function-Grant'!X$4,'Exp Details'!$H$22:$H$27)</f>
        <v>0</v>
      </c>
      <c r="Y65" s="39">
        <f>SUMIF('Exp Details'!$D$22:$D$27,'Function-Grant'!Y$4,'Exp Details'!$H$22:$H$27)</f>
        <v>0</v>
      </c>
      <c r="Z65" s="39">
        <f>SUMIF('Exp Details'!$D$22:$D$27,'Function-Grant'!Z$4,'Exp Details'!$H$22:$H$27)</f>
        <v>0</v>
      </c>
      <c r="AA65" s="39">
        <f>SUMIF('Exp Details'!$D$22:$D$27,'Function-Grant'!AA$4,'Exp Details'!$H$22:$H$27)</f>
        <v>0</v>
      </c>
      <c r="AB65" s="39">
        <f>SUMIF('Exp Details'!$D$22:$D$27,'Function-Grant'!AB$4,'Exp Details'!$H$22:$H$27)</f>
        <v>0</v>
      </c>
      <c r="AC65" s="39">
        <f>SUMIF('Exp Details'!$D$22:$D$27,'Function-Grant'!AC$4,'Exp Details'!$H$22:$H$27)</f>
        <v>0</v>
      </c>
      <c r="AD65" s="39">
        <f>SUMIF('Exp Details'!$D$22:$D$27,'Function-Grant'!AD$4,'Exp Details'!$H$22:$H$27)</f>
        <v>0</v>
      </c>
      <c r="AE65" s="39">
        <f>SUMIF('Exp Details'!$D$22:$D$27,'Function-Grant'!AE$4,'Exp Details'!$H$22:$H$27)</f>
        <v>0</v>
      </c>
      <c r="AF65" s="39">
        <f>SUMIF('Exp Details'!$D$22:$D$27,'Function-Grant'!AF$4,'Exp Details'!$H$22:$H$27)</f>
        <v>0</v>
      </c>
      <c r="AG65" s="39">
        <f>SUMIF('Exp Details'!$D$22:$D$27,'Function-Grant'!AG$4,'Exp Details'!$H$22:$H$27)</f>
        <v>0</v>
      </c>
      <c r="AH65" s="39">
        <f>SUMIF('Exp Details'!$D$22:$D$27,'Function-Grant'!AH$4,'Exp Details'!$H$22:$H$27)</f>
        <v>0</v>
      </c>
      <c r="AI65" s="39">
        <f>SUMIF('Exp Details'!$D$22:$D$27,'Function-Grant'!AI$4,'Exp Details'!$H$22:$H$27)</f>
        <v>0</v>
      </c>
      <c r="AJ65" s="39">
        <f>SUMIF('Exp Details'!$D$22:$D$27,'Function-Grant'!AJ$4,'Exp Details'!$H$22:$H$27)</f>
        <v>0</v>
      </c>
      <c r="AK65" s="39">
        <f>SUMIF('Exp Details'!$D$22:$D$27,'Function-Grant'!AK$4,'Exp Details'!$H$22:$H$27)</f>
        <v>0</v>
      </c>
      <c r="AL65" s="39">
        <f>SUMIF('Exp Details'!$D$22:$D$27,'Function-Grant'!AL$4,'Exp Details'!$H$22:$H$27)</f>
        <v>0</v>
      </c>
      <c r="AM65" s="39">
        <f>SUMIF('Exp Details'!$D$22:$D$27,'Function-Grant'!AM$4,'Exp Details'!$H$22:$H$27)</f>
        <v>0</v>
      </c>
      <c r="AN65" s="39">
        <f>SUMIF('Exp Details'!$D$22:$D$27,'Function-Grant'!AN$4,'Exp Details'!$H$22:$H$27)</f>
        <v>0</v>
      </c>
      <c r="AO65" s="41"/>
      <c r="AP65" s="59">
        <f t="shared" si="33"/>
        <v>49875</v>
      </c>
      <c r="AQ65" s="41"/>
      <c r="AR65" s="258">
        <f>AP65-'FY21'!S65</f>
        <v>0</v>
      </c>
    </row>
    <row r="66" spans="3:44" s="37" customFormat="1" ht="12" x14ac:dyDescent="0.2">
      <c r="C66" s="199">
        <v>6331</v>
      </c>
      <c r="D66" s="37" t="s">
        <v>11</v>
      </c>
      <c r="E66" s="39">
        <f>SUMIF('Exp Details'!$D$31:$D$33,'Function-Grant'!E$4,'Exp Details'!$H$31:$H$33)</f>
        <v>0</v>
      </c>
      <c r="F66" s="39">
        <f>SUMIF('Exp Details'!$D$31:$D$33,'Function-Grant'!F$4,'Exp Details'!$H$31:$H$33)</f>
        <v>0</v>
      </c>
      <c r="G66" s="39">
        <f>SUMIF('Exp Details'!$D$31:$D$33,'Function-Grant'!G$4,'Exp Details'!$H$31:$H$33)</f>
        <v>0</v>
      </c>
      <c r="H66" s="39">
        <f>SUMIF('Exp Details'!$D$31:$D$33,'Function-Grant'!H$4,'Exp Details'!$H$31:$H$33)</f>
        <v>0</v>
      </c>
      <c r="I66" s="39">
        <f>SUMIF('Exp Details'!$D$31:$D$33,'Function-Grant'!I$4,'Exp Details'!$H$31:$H$33)</f>
        <v>0</v>
      </c>
      <c r="J66" s="39">
        <f>SUMIF('Exp Details'!$D$31:$D$33,'Function-Grant'!J$4,'Exp Details'!$H$31:$H$33)</f>
        <v>0</v>
      </c>
      <c r="K66" s="39">
        <f>SUMIF('Exp Details'!$D$31:$D$33,'Function-Grant'!K$4,'Exp Details'!$H$31:$H$33)</f>
        <v>0</v>
      </c>
      <c r="L66" s="39">
        <f>SUMIF('Exp Details'!$D$31:$D$33,'Function-Grant'!L$4,'Exp Details'!$H$31:$H$33)</f>
        <v>0</v>
      </c>
      <c r="M66" s="39">
        <f>SUMIF('Exp Details'!$D$31:$D$33,'Function-Grant'!M$4,'Exp Details'!$H$31:$H$33)</f>
        <v>0</v>
      </c>
      <c r="N66" s="39">
        <f>SUMIF('Exp Details'!$D$31:$D$33,'Function-Grant'!N$4,'Exp Details'!$H$31:$H$33)</f>
        <v>0</v>
      </c>
      <c r="O66" s="39">
        <f>SUMIF('Exp Details'!$D$31:$D$33,'Function-Grant'!O$4,'Exp Details'!$H$31:$H$33)</f>
        <v>0</v>
      </c>
      <c r="P66" s="39">
        <f>SUMIF('Exp Details'!$D$31:$D$33,'Function-Grant'!P$4,'Exp Details'!$H$31:$H$33)</f>
        <v>0</v>
      </c>
      <c r="Q66" s="39">
        <f>SUMIF('Exp Details'!$D$31:$D$33,'Function-Grant'!Q$4,'Exp Details'!$H$31:$H$33)</f>
        <v>0</v>
      </c>
      <c r="R66" s="39">
        <f>SUMIF('Exp Details'!$D$31:$D$33,'Function-Grant'!R$4,'Exp Details'!$H$31:$H$33)</f>
        <v>0</v>
      </c>
      <c r="S66" s="39">
        <f>SUMIF('Exp Details'!$D$31:$D$33,'Function-Grant'!S$4,'Exp Details'!$H$31:$H$33)</f>
        <v>0</v>
      </c>
      <c r="T66" s="39">
        <f>SUMIF('Exp Details'!$D$31:$D$33,'Function-Grant'!T$4,'Exp Details'!$H$31:$H$33)</f>
        <v>0</v>
      </c>
      <c r="U66" s="39">
        <f>SUMIF('Exp Details'!$D$31:$D$33,'Function-Grant'!U$4,'Exp Details'!$H$31:$H$33)</f>
        <v>0</v>
      </c>
      <c r="V66" s="39">
        <f>SUMIF('Exp Details'!$D$31:$D$33,'Function-Grant'!V$4,'Exp Details'!$H$31:$H$33)</f>
        <v>0</v>
      </c>
      <c r="W66" s="39">
        <f>SUMIF('Exp Details'!$D$31:$D$33,'Function-Grant'!W$4,'Exp Details'!$H$31:$H$33)</f>
        <v>0</v>
      </c>
      <c r="X66" s="39">
        <f>SUMIF('Exp Details'!$D$31:$D$33,'Function-Grant'!X$4,'Exp Details'!$H$31:$H$33)</f>
        <v>0</v>
      </c>
      <c r="Y66" s="39">
        <f>SUMIF('Exp Details'!$D$31:$D$33,'Function-Grant'!Y$4,'Exp Details'!$H$31:$H$33)</f>
        <v>0</v>
      </c>
      <c r="Z66" s="39">
        <f>SUMIF('Exp Details'!$D$31:$D$33,'Function-Grant'!Z$4,'Exp Details'!$H$31:$H$33)</f>
        <v>0</v>
      </c>
      <c r="AA66" s="39">
        <f>SUMIF('Exp Details'!$D$31:$D$33,'Function-Grant'!AA$4,'Exp Details'!$H$31:$H$33)</f>
        <v>0</v>
      </c>
      <c r="AB66" s="39">
        <f>SUMIF('Exp Details'!$D$31:$D$33,'Function-Grant'!AB$4,'Exp Details'!$H$31:$H$33)</f>
        <v>0</v>
      </c>
      <c r="AC66" s="39">
        <f>SUMIF('Exp Details'!$D$31:$D$33,'Function-Grant'!AC$4,'Exp Details'!$H$31:$H$33)</f>
        <v>0</v>
      </c>
      <c r="AD66" s="39">
        <f>SUMIF('Exp Details'!$D$31:$D$33,'Function-Grant'!AD$4,'Exp Details'!$H$31:$H$33)</f>
        <v>0</v>
      </c>
      <c r="AE66" s="39">
        <f>SUMIF('Exp Details'!$D$31:$D$33,'Function-Grant'!AE$4,'Exp Details'!$H$31:$H$33)</f>
        <v>0</v>
      </c>
      <c r="AF66" s="39">
        <f>SUMIF('Exp Details'!$D$31:$D$33,'Function-Grant'!AF$4,'Exp Details'!$H$31:$H$33)</f>
        <v>0</v>
      </c>
      <c r="AG66" s="39">
        <f>SUMIF('Exp Details'!$D$31:$D$33,'Function-Grant'!AG$4,'Exp Details'!$H$31:$H$33)</f>
        <v>0</v>
      </c>
      <c r="AH66" s="39">
        <f>SUMIF('Exp Details'!$D$31:$D$33,'Function-Grant'!AH$4,'Exp Details'!$H$31:$H$33)</f>
        <v>0</v>
      </c>
      <c r="AI66" s="39">
        <f>SUMIF('Exp Details'!$D$31:$D$33,'Function-Grant'!AI$4,'Exp Details'!$H$31:$H$33)</f>
        <v>0</v>
      </c>
      <c r="AJ66" s="370">
        <f>SUMIF('Exp Details'!$D$31:$D$33,'Function-Grant'!AJ$4,'Exp Details'!$H$31:$H$33)</f>
        <v>2000</v>
      </c>
      <c r="AK66" s="39">
        <f>SUMIF('Exp Details'!$D$31:$D$33,'Function-Grant'!AK$4,'Exp Details'!$H$31:$H$33)</f>
        <v>0</v>
      </c>
      <c r="AL66" s="39">
        <f>SUMIF('Exp Details'!$D$31:$D$33,'Function-Grant'!AL$4,'Exp Details'!$H$31:$H$33)</f>
        <v>0</v>
      </c>
      <c r="AM66" s="39">
        <f>SUMIF('Exp Details'!$D$31:$D$33,'Function-Grant'!AM$4,'Exp Details'!$H$31:$H$33)</f>
        <v>0</v>
      </c>
      <c r="AN66" s="39">
        <f>SUMIF('Exp Details'!$D$31:$D$33,'Function-Grant'!AN$4,'Exp Details'!$H$31:$H$33)</f>
        <v>0</v>
      </c>
      <c r="AO66" s="41"/>
      <c r="AP66" s="59">
        <f t="shared" si="33"/>
        <v>2000</v>
      </c>
      <c r="AQ66" s="41"/>
      <c r="AR66" s="258">
        <f>AP66-'FY21'!S66</f>
        <v>0</v>
      </c>
    </row>
    <row r="67" spans="3:44" s="37" customFormat="1" ht="12" x14ac:dyDescent="0.2">
      <c r="C67" s="199">
        <v>6334</v>
      </c>
      <c r="D67" s="37" t="s">
        <v>12</v>
      </c>
      <c r="E67" s="39">
        <f>SUMIF('Exp Details'!$D$37:$D$54,'Function-Grant'!E$4,'Exp Details'!$H$37:$H$54)</f>
        <v>0</v>
      </c>
      <c r="F67" s="39">
        <f>SUMIF('Exp Details'!$D$37:$D$54,'Function-Grant'!F$4,'Exp Details'!$H$37:$H$54)</f>
        <v>0</v>
      </c>
      <c r="G67" s="39">
        <f>SUMIF('Exp Details'!$D$37:$D$54,'Function-Grant'!G$4,'Exp Details'!$H$37:$H$54)</f>
        <v>0</v>
      </c>
      <c r="H67" s="39">
        <f>SUMIF('Exp Details'!$D$37:$D$54,'Function-Grant'!H$4,'Exp Details'!$H$37:$H$54)</f>
        <v>0</v>
      </c>
      <c r="I67" s="39">
        <f>SUMIF('Exp Details'!$D$37:$D$54,'Function-Grant'!I$4,'Exp Details'!$H$37:$H$54)</f>
        <v>0</v>
      </c>
      <c r="J67" s="39">
        <f>SUMIF('Exp Details'!$D$37:$D$54,'Function-Grant'!J$4,'Exp Details'!$H$37:$H$54)</f>
        <v>0</v>
      </c>
      <c r="K67" s="39">
        <f>SUMIF('Exp Details'!$D$37:$D$54,'Function-Grant'!K$4,'Exp Details'!$H$37:$H$54)</f>
        <v>0</v>
      </c>
      <c r="L67" s="39">
        <f>SUMIF('Exp Details'!$D$37:$D$54,'Function-Grant'!L$4,'Exp Details'!$H$37:$H$54)</f>
        <v>0</v>
      </c>
      <c r="M67" s="370">
        <f>SUMIF('Exp Details'!$D$37:$D$54,'Function-Grant'!M$4,'Exp Details'!$H$37:$H$54)</f>
        <v>9458</v>
      </c>
      <c r="N67" s="370">
        <f>SUMIF('Exp Details'!$D$37:$D$54,'Function-Grant'!N$4,'Exp Details'!$H$37:$H$54)</f>
        <v>2255</v>
      </c>
      <c r="O67" s="39">
        <f>SUMIF('Exp Details'!$D$37:$D$54,'Function-Grant'!O$4,'Exp Details'!$H$37:$H$54)</f>
        <v>0</v>
      </c>
      <c r="P67" s="39">
        <f>SUMIF('Exp Details'!$D$37:$D$54,'Function-Grant'!P$4,'Exp Details'!$H$37:$H$54)</f>
        <v>0</v>
      </c>
      <c r="Q67" s="39">
        <f>SUMIF('Exp Details'!$D$37:$D$54,'Function-Grant'!Q$4,'Exp Details'!$H$37:$H$54)</f>
        <v>0</v>
      </c>
      <c r="R67" s="39">
        <f>SUMIF('Exp Details'!$D$37:$D$54,'Function-Grant'!R$4,'Exp Details'!$H$37:$H$54)</f>
        <v>0</v>
      </c>
      <c r="S67" s="39">
        <f>SUMIF('Exp Details'!$D$37:$D$54,'Function-Grant'!S$4,'Exp Details'!$H$37:$H$54)</f>
        <v>0</v>
      </c>
      <c r="T67" s="39">
        <f>SUMIF('Exp Details'!$D$37:$D$54,'Function-Grant'!T$4,'Exp Details'!$H$37:$H$54)</f>
        <v>0</v>
      </c>
      <c r="U67" s="39">
        <f>SUMIF('Exp Details'!$D$37:$D$54,'Function-Grant'!U$4,'Exp Details'!$H$37:$H$54)</f>
        <v>0</v>
      </c>
      <c r="V67" s="39">
        <f>SUMIF('Exp Details'!$D$37:$D$54,'Function-Grant'!V$4,'Exp Details'!$H$37:$H$54)</f>
        <v>0</v>
      </c>
      <c r="W67" s="39">
        <f>SUMIF('Exp Details'!$D$37:$D$54,'Function-Grant'!W$4,'Exp Details'!$H$37:$H$54)</f>
        <v>0</v>
      </c>
      <c r="X67" s="39">
        <f>SUMIF('Exp Details'!$D$37:$D$54,'Function-Grant'!X$4,'Exp Details'!$H$37:$H$54)</f>
        <v>0</v>
      </c>
      <c r="Y67" s="39">
        <f>SUMIF('Exp Details'!$D$37:$D$54,'Function-Grant'!Y$4,'Exp Details'!$H$37:$H$54)</f>
        <v>0</v>
      </c>
      <c r="Z67" s="39">
        <f>SUMIF('Exp Details'!$D$37:$D$54,'Function-Grant'!Z$4,'Exp Details'!$H$37:$H$54)</f>
        <v>0</v>
      </c>
      <c r="AA67" s="39">
        <f>SUMIF('Exp Details'!$D$37:$D$54,'Function-Grant'!AA$4,'Exp Details'!$H$37:$H$54)</f>
        <v>0</v>
      </c>
      <c r="AB67" s="39">
        <f>SUMIF('Exp Details'!$D$37:$D$54,'Function-Grant'!AB$4,'Exp Details'!$H$37:$H$54)</f>
        <v>0</v>
      </c>
      <c r="AC67" s="39">
        <f>SUMIF('Exp Details'!$D$37:$D$54,'Function-Grant'!AC$4,'Exp Details'!$H$37:$H$54)</f>
        <v>0</v>
      </c>
      <c r="AD67" s="39">
        <f>SUMIF('Exp Details'!$D$37:$D$54,'Function-Grant'!AD$4,'Exp Details'!$H$37:$H$54)</f>
        <v>0</v>
      </c>
      <c r="AE67" s="39">
        <f>SUMIF('Exp Details'!$D$37:$D$54,'Function-Grant'!AE$4,'Exp Details'!$H$37:$H$54)</f>
        <v>0</v>
      </c>
      <c r="AF67" s="39">
        <f>SUMIF('Exp Details'!$D$37:$D$54,'Function-Grant'!AF$4,'Exp Details'!$H$37:$H$54)</f>
        <v>0</v>
      </c>
      <c r="AG67" s="39">
        <f>SUMIF('Exp Details'!$D$37:$D$54,'Function-Grant'!AG$4,'Exp Details'!$H$37:$H$54)</f>
        <v>0</v>
      </c>
      <c r="AH67" s="39">
        <f>SUMIF('Exp Details'!$D$37:$D$54,'Function-Grant'!AH$4,'Exp Details'!$H$37:$H$54)</f>
        <v>0</v>
      </c>
      <c r="AI67" s="39">
        <f>SUMIF('Exp Details'!$D$37:$D$54,'Function-Grant'!AI$4,'Exp Details'!$H$37:$H$54)</f>
        <v>0</v>
      </c>
      <c r="AJ67" s="39">
        <f>SUMIF('Exp Details'!$D$37:$D$54,'Function-Grant'!AJ$4,'Exp Details'!$H$37:$H$54)</f>
        <v>0</v>
      </c>
      <c r="AK67" s="370">
        <f>SUMIF('Exp Details'!$D$37:$D$54,'Function-Grant'!AK$4,'Exp Details'!$H$37:$H$54)</f>
        <v>800</v>
      </c>
      <c r="AL67" s="370">
        <f>SUMIF('Exp Details'!$D$37:$D$54,'Function-Grant'!AL$4,'Exp Details'!$H$37:$H$54)</f>
        <v>800</v>
      </c>
      <c r="AM67" s="370">
        <f>SUMIF('Exp Details'!$D$37:$D$54,'Function-Grant'!AM$4,'Exp Details'!$H$37:$H$54)</f>
        <v>2400</v>
      </c>
      <c r="AN67" s="39">
        <f>SUMIF('Exp Details'!$D$37:$D$54,'Function-Grant'!AN$4,'Exp Details'!$H$37:$H$54)</f>
        <v>0</v>
      </c>
      <c r="AO67" s="41"/>
      <c r="AP67" s="59">
        <f t="shared" si="33"/>
        <v>15713</v>
      </c>
      <c r="AQ67" s="41"/>
      <c r="AR67" s="258">
        <f>AP67-'FY21'!S67</f>
        <v>0</v>
      </c>
    </row>
    <row r="68" spans="3:44" s="37" customFormat="1" ht="12" x14ac:dyDescent="0.2">
      <c r="C68" s="199">
        <v>6336</v>
      </c>
      <c r="D68" s="37" t="s">
        <v>13</v>
      </c>
      <c r="E68" s="39">
        <f>SUMIF('Exp Details'!$D$58:$D$73,'Function-Grant'!E$4,'Exp Details'!$H$58:$H$73)</f>
        <v>0</v>
      </c>
      <c r="F68" s="39">
        <f>SUMIF('Exp Details'!$D$58:$D$73,'Function-Grant'!F$4,'Exp Details'!$H$58:$H$73)</f>
        <v>0</v>
      </c>
      <c r="G68" s="39">
        <f>SUMIF('Exp Details'!$D$58:$D$73,'Function-Grant'!G$4,'Exp Details'!$H$58:$H$73)</f>
        <v>0</v>
      </c>
      <c r="H68" s="39">
        <f>SUMIF('Exp Details'!$D$58:$D$73,'Function-Grant'!H$4,'Exp Details'!$H$58:$H$73)</f>
        <v>0</v>
      </c>
      <c r="I68" s="39">
        <f>SUMIF('Exp Details'!$D$58:$D$73,'Function-Grant'!I$4,'Exp Details'!$H$58:$H$73)</f>
        <v>0</v>
      </c>
      <c r="J68" s="39">
        <f>SUMIF('Exp Details'!$D$58:$D$73,'Function-Grant'!J$4,'Exp Details'!$H$58:$H$73)</f>
        <v>0</v>
      </c>
      <c r="K68" s="39">
        <f>SUMIF('Exp Details'!$D$58:$D$73,'Function-Grant'!K$4,'Exp Details'!$H$58:$H$73)</f>
        <v>0</v>
      </c>
      <c r="L68" s="39">
        <f>SUMIF('Exp Details'!$D$58:$D$73,'Function-Grant'!L$4,'Exp Details'!$H$58:$H$73)</f>
        <v>0</v>
      </c>
      <c r="M68" s="39">
        <f>SUMIF('Exp Details'!$D$58:$D$73,'Function-Grant'!M$4,'Exp Details'!$H$58:$H$73)</f>
        <v>0</v>
      </c>
      <c r="N68" s="39">
        <f>SUMIF('Exp Details'!$D$58:$D$73,'Function-Grant'!N$4,'Exp Details'!$H$58:$H$73)</f>
        <v>0</v>
      </c>
      <c r="O68" s="370">
        <f>SUMIF('Exp Details'!$D$58:$D$73,'Function-Grant'!O$4,'Exp Details'!$H$58:$H$73)</f>
        <v>5310</v>
      </c>
      <c r="P68" s="39">
        <f>SUMIF('Exp Details'!$D$58:$D$73,'Function-Grant'!P$4,'Exp Details'!$H$58:$H$73)</f>
        <v>0</v>
      </c>
      <c r="Q68" s="39">
        <f>SUMIF('Exp Details'!$D$58:$D$73,'Function-Grant'!Q$4,'Exp Details'!$H$58:$H$73)</f>
        <v>0</v>
      </c>
      <c r="R68" s="39">
        <f>SUMIF('Exp Details'!$D$58:$D$73,'Function-Grant'!R$4,'Exp Details'!$H$58:$H$73)</f>
        <v>0</v>
      </c>
      <c r="S68" s="39">
        <f>SUMIF('Exp Details'!$D$58:$D$73,'Function-Grant'!S$4,'Exp Details'!$H$58:$H$73)</f>
        <v>0</v>
      </c>
      <c r="T68" s="39">
        <f>SUMIF('Exp Details'!$D$58:$D$73,'Function-Grant'!T$4,'Exp Details'!$H$58:$H$73)</f>
        <v>0</v>
      </c>
      <c r="U68" s="39">
        <f>SUMIF('Exp Details'!$D$58:$D$73,'Function-Grant'!U$4,'Exp Details'!$H$58:$H$73)</f>
        <v>0</v>
      </c>
      <c r="V68" s="39">
        <f>SUMIF('Exp Details'!$D$58:$D$73,'Function-Grant'!V$4,'Exp Details'!$H$58:$H$73)</f>
        <v>0</v>
      </c>
      <c r="W68" s="39">
        <f>SUMIF('Exp Details'!$D$58:$D$73,'Function-Grant'!W$4,'Exp Details'!$H$58:$H$73)</f>
        <v>0</v>
      </c>
      <c r="X68" s="39">
        <f>SUMIF('Exp Details'!$D$58:$D$73,'Function-Grant'!X$4,'Exp Details'!$H$58:$H$73)</f>
        <v>0</v>
      </c>
      <c r="Y68" s="39">
        <f>SUMIF('Exp Details'!$D$58:$D$73,'Function-Grant'!Y$4,'Exp Details'!$H$58:$H$73)</f>
        <v>0</v>
      </c>
      <c r="Z68" s="39">
        <f>SUMIF('Exp Details'!$D$58:$D$73,'Function-Grant'!Z$4,'Exp Details'!$H$58:$H$73)</f>
        <v>0</v>
      </c>
      <c r="AA68" s="39">
        <f>SUMIF('Exp Details'!$D$58:$D$73,'Function-Grant'!AA$4,'Exp Details'!$H$58:$H$73)</f>
        <v>0</v>
      </c>
      <c r="AB68" s="39">
        <f>SUMIF('Exp Details'!$D$58:$D$73,'Function-Grant'!AB$4,'Exp Details'!$H$58:$H$73)</f>
        <v>0</v>
      </c>
      <c r="AC68" s="39">
        <f>SUMIF('Exp Details'!$D$58:$D$73,'Function-Grant'!AC$4,'Exp Details'!$H$58:$H$73)</f>
        <v>0</v>
      </c>
      <c r="AD68" s="39">
        <f>SUMIF('Exp Details'!$D$58:$D$73,'Function-Grant'!AD$4,'Exp Details'!$H$58:$H$73)</f>
        <v>0</v>
      </c>
      <c r="AE68" s="39">
        <f>SUMIF('Exp Details'!$D$58:$D$73,'Function-Grant'!AE$4,'Exp Details'!$H$58:$H$73)</f>
        <v>0</v>
      </c>
      <c r="AF68" s="39">
        <f>SUMIF('Exp Details'!$D$58:$D$73,'Function-Grant'!AF$4,'Exp Details'!$H$58:$H$73)</f>
        <v>0</v>
      </c>
      <c r="AG68" s="39">
        <f>SUMIF('Exp Details'!$D$58:$D$73,'Function-Grant'!AG$4,'Exp Details'!$H$58:$H$73)</f>
        <v>0</v>
      </c>
      <c r="AH68" s="39">
        <f>SUMIF('Exp Details'!$D$58:$D$73,'Function-Grant'!AH$4,'Exp Details'!$H$58:$H$73)</f>
        <v>0</v>
      </c>
      <c r="AI68" s="39">
        <f>SUMIF('Exp Details'!$D$58:$D$73,'Function-Grant'!AI$4,'Exp Details'!$H$58:$H$73)</f>
        <v>0</v>
      </c>
      <c r="AJ68" s="39">
        <f>SUMIF('Exp Details'!$D$58:$D$73,'Function-Grant'!AJ$4,'Exp Details'!$H$58:$H$73)</f>
        <v>0</v>
      </c>
      <c r="AK68" s="39">
        <f>SUMIF('Exp Details'!$D$58:$D$73,'Function-Grant'!AK$4,'Exp Details'!$H$58:$H$73)</f>
        <v>0</v>
      </c>
      <c r="AL68" s="39">
        <f>SUMIF('Exp Details'!$D$58:$D$73,'Function-Grant'!AL$4,'Exp Details'!$H$58:$H$73)</f>
        <v>0</v>
      </c>
      <c r="AM68" s="39">
        <f>SUMIF('Exp Details'!$D$58:$D$73,'Function-Grant'!AM$4,'Exp Details'!$H$58:$H$73)</f>
        <v>0</v>
      </c>
      <c r="AN68" s="370">
        <f>SUMIF('Exp Details'!$D$58:$D$73,'Function-Grant'!AN$4,'Exp Details'!$H$58:$H$73)</f>
        <v>2800</v>
      </c>
      <c r="AO68" s="41"/>
      <c r="AP68" s="59">
        <f t="shared" si="33"/>
        <v>8110</v>
      </c>
      <c r="AQ68" s="41"/>
      <c r="AR68" s="258">
        <f>AP68-'FY21'!S68</f>
        <v>0</v>
      </c>
    </row>
    <row r="69" spans="3:44" s="37" customFormat="1" ht="12" x14ac:dyDescent="0.2">
      <c r="C69" s="199">
        <v>6337</v>
      </c>
      <c r="D69" s="37" t="s">
        <v>14</v>
      </c>
      <c r="E69" s="39">
        <f>SUMIF('Exp Details'!$D$58:$D$80,'Function-Grant'!E$4,'Exp Details'!$H$58:$H$80)</f>
        <v>0</v>
      </c>
      <c r="F69" s="39">
        <f>SUMIF('Exp Details'!$D$58:$D$80,'Function-Grant'!F$4,'Exp Details'!$H$58:$H$80)</f>
        <v>0</v>
      </c>
      <c r="G69" s="39">
        <f>SUMIF('Exp Details'!$D$58:$D$80,'Function-Grant'!G$4,'Exp Details'!$H$58:$H$80)</f>
        <v>0</v>
      </c>
      <c r="H69" s="39">
        <f>SUMIF('Exp Details'!$D$58:$D$80,'Function-Grant'!H$4,'Exp Details'!$H$58:$H$80)</f>
        <v>0</v>
      </c>
      <c r="I69" s="39">
        <f>SUMIF('Exp Details'!$D$58:$D$80,'Function-Grant'!I$4,'Exp Details'!$H$58:$H$80)</f>
        <v>0</v>
      </c>
      <c r="J69" s="39">
        <f>SUMIF('Exp Details'!$D$58:$D$80,'Function-Grant'!J$4,'Exp Details'!$H$58:$H$80)</f>
        <v>0</v>
      </c>
      <c r="K69" s="39">
        <f>SUMIF('Exp Details'!$D$58:$D$80,'Function-Grant'!K$4,'Exp Details'!$H$58:$H$80)</f>
        <v>0</v>
      </c>
      <c r="L69" s="39">
        <f>SUMIF('Exp Details'!$D$58:$D$80,'Function-Grant'!L$4,'Exp Details'!$H$58:$H$80)</f>
        <v>0</v>
      </c>
      <c r="M69" s="39">
        <f>SUMIF('Exp Details'!$D$58:$D$80,'Function-Grant'!M$4,'Exp Details'!$H$58:$H$80)</f>
        <v>0</v>
      </c>
      <c r="N69" s="39">
        <f>SUMIF('Exp Details'!$D$58:$D$80,'Function-Grant'!N$4,'Exp Details'!$H$58:$H$80)</f>
        <v>0</v>
      </c>
      <c r="O69" s="370">
        <f>SUMIF('Exp Details'!$D$58:$D$80,'Function-Grant'!O$4,'Exp Details'!$H$58:$H$80)</f>
        <v>5310</v>
      </c>
      <c r="P69" s="39">
        <f>SUMIF('Exp Details'!$D$58:$D$80,'Function-Grant'!P$4,'Exp Details'!$H$58:$H$80)</f>
        <v>0</v>
      </c>
      <c r="Q69" s="39">
        <f>SUMIF('Exp Details'!$D$58:$D$80,'Function-Grant'!Q$4,'Exp Details'!$H$58:$H$80)</f>
        <v>0</v>
      </c>
      <c r="R69" s="39">
        <f>SUMIF('Exp Details'!$D$58:$D$80,'Function-Grant'!R$4,'Exp Details'!$H$58:$H$80)</f>
        <v>0</v>
      </c>
      <c r="S69" s="39">
        <f>SUMIF('Exp Details'!$D$58:$D$80,'Function-Grant'!S$4,'Exp Details'!$H$58:$H$80)</f>
        <v>0</v>
      </c>
      <c r="T69" s="39">
        <f>SUMIF('Exp Details'!$D$58:$D$80,'Function-Grant'!T$4,'Exp Details'!$H$58:$H$80)</f>
        <v>0</v>
      </c>
      <c r="U69" s="39">
        <f>SUMIF('Exp Details'!$D$58:$D$80,'Function-Grant'!U$4,'Exp Details'!$H$58:$H$80)</f>
        <v>0</v>
      </c>
      <c r="V69" s="39">
        <f>SUMIF('Exp Details'!$D$58:$D$80,'Function-Grant'!V$4,'Exp Details'!$H$58:$H$80)</f>
        <v>0</v>
      </c>
      <c r="W69" s="39">
        <f>SUMIF('Exp Details'!$D$58:$D$80,'Function-Grant'!W$4,'Exp Details'!$H$58:$H$80)</f>
        <v>0</v>
      </c>
      <c r="X69" s="39">
        <f>SUMIF('Exp Details'!$D$58:$D$80,'Function-Grant'!X$4,'Exp Details'!$H$58:$H$80)</f>
        <v>0</v>
      </c>
      <c r="Y69" s="39">
        <f>SUMIF('Exp Details'!$D$58:$D$80,'Function-Grant'!Y$4,'Exp Details'!$H$58:$H$80)</f>
        <v>0</v>
      </c>
      <c r="Z69" s="39">
        <f>SUMIF('Exp Details'!$D$58:$D$80,'Function-Grant'!Z$4,'Exp Details'!$H$58:$H$80)</f>
        <v>0</v>
      </c>
      <c r="AA69" s="39">
        <f>SUMIF('Exp Details'!$D$58:$D$80,'Function-Grant'!AA$4,'Exp Details'!$H$58:$H$80)</f>
        <v>0</v>
      </c>
      <c r="AB69" s="39">
        <f>SUMIF('Exp Details'!$D$58:$D$80,'Function-Grant'!AB$4,'Exp Details'!$H$58:$H$80)</f>
        <v>0</v>
      </c>
      <c r="AC69" s="39">
        <f>SUMIF('Exp Details'!$D$58:$D$80,'Function-Grant'!AC$4,'Exp Details'!$H$58:$H$80)</f>
        <v>0</v>
      </c>
      <c r="AD69" s="39">
        <f>SUMIF('Exp Details'!$D$58:$D$80,'Function-Grant'!AD$4,'Exp Details'!$H$58:$H$80)</f>
        <v>0</v>
      </c>
      <c r="AE69" s="39">
        <f>SUMIF('Exp Details'!$D$58:$D$80,'Function-Grant'!AE$4,'Exp Details'!$H$58:$H$80)</f>
        <v>0</v>
      </c>
      <c r="AF69" s="39">
        <f>SUMIF('Exp Details'!$D$58:$D$80,'Function-Grant'!AF$4,'Exp Details'!$H$58:$H$80)</f>
        <v>0</v>
      </c>
      <c r="AG69" s="39">
        <f>SUMIF('Exp Details'!$D$58:$D$80,'Function-Grant'!AG$4,'Exp Details'!$H$58:$H$80)</f>
        <v>0</v>
      </c>
      <c r="AH69" s="39">
        <f>SUMIF('Exp Details'!$D$58:$D$80,'Function-Grant'!AH$4,'Exp Details'!$H$58:$H$80)</f>
        <v>0</v>
      </c>
      <c r="AI69" s="39">
        <f>SUMIF('Exp Details'!$D$58:$D$80,'Function-Grant'!AI$4,'Exp Details'!$H$58:$H$80)</f>
        <v>0</v>
      </c>
      <c r="AJ69" s="39">
        <f>SUMIF('Exp Details'!$D$58:$D$80,'Function-Grant'!AJ$4,'Exp Details'!$H$58:$H$80)</f>
        <v>0</v>
      </c>
      <c r="AK69" s="39">
        <f>SUMIF('Exp Details'!$D$58:$D$80,'Function-Grant'!AK$4,'Exp Details'!$H$58:$H$80)</f>
        <v>0</v>
      </c>
      <c r="AL69" s="39">
        <f>SUMIF('Exp Details'!$D$58:$D$80,'Function-Grant'!AL$4,'Exp Details'!$H$58:$H$80)</f>
        <v>0</v>
      </c>
      <c r="AM69" s="39">
        <f>SUMIF('Exp Details'!$D$58:$D$80,'Function-Grant'!AM$4,'Exp Details'!$H$58:$H$80)</f>
        <v>0</v>
      </c>
      <c r="AN69" s="370">
        <f>SUMIF('Exp Details'!$D$58:$D$80,'Function-Grant'!AN$4,'Exp Details'!$H$58:$H$80)</f>
        <v>2800</v>
      </c>
      <c r="AO69" s="41"/>
      <c r="AP69" s="59">
        <f t="shared" si="33"/>
        <v>8110</v>
      </c>
      <c r="AQ69" s="41"/>
      <c r="AR69" s="258">
        <f>AP69-'FY21'!S69</f>
        <v>0</v>
      </c>
    </row>
    <row r="70" spans="3:44" s="37" customFormat="1" ht="12" x14ac:dyDescent="0.2">
      <c r="C70" s="199">
        <v>6340</v>
      </c>
      <c r="D70" s="37" t="s">
        <v>15</v>
      </c>
      <c r="E70" s="39">
        <f>SUMIF('Exp Details'!$D$84:$D$106,'Function-Grant'!E$4,'Exp Details'!$H$84:$H$106)</f>
        <v>0</v>
      </c>
      <c r="F70" s="39">
        <f>SUMIF('Exp Details'!$D$84:$D$106,'Function-Grant'!F$4,'Exp Details'!$H$84:$H$106)</f>
        <v>0</v>
      </c>
      <c r="G70" s="39">
        <f>SUMIF('Exp Details'!$D$84:$D$106,'Function-Grant'!G$4,'Exp Details'!$H$84:$H$106)</f>
        <v>0</v>
      </c>
      <c r="H70" s="39">
        <f>SUMIF('Exp Details'!$D$84:$D$106,'Function-Grant'!H$4,'Exp Details'!$H$84:$H$106)</f>
        <v>0</v>
      </c>
      <c r="I70" s="39">
        <f>SUMIF('Exp Details'!$D$84:$D$106,'Function-Grant'!I$4,'Exp Details'!$H$84:$H$106)</f>
        <v>0</v>
      </c>
      <c r="J70" s="39">
        <f>SUMIF('Exp Details'!$D$84:$D$106,'Function-Grant'!J$4,'Exp Details'!$H$84:$H$106)</f>
        <v>0</v>
      </c>
      <c r="K70" s="39">
        <f>SUMIF('Exp Details'!$D$84:$D$106,'Function-Grant'!K$4,'Exp Details'!$H$84:$H$106)</f>
        <v>0</v>
      </c>
      <c r="L70" s="39">
        <f>SUMIF('Exp Details'!$D$84:$D$106,'Function-Grant'!L$4,'Exp Details'!$H$84:$H$106)</f>
        <v>0</v>
      </c>
      <c r="M70" s="39">
        <f>SUMIF('Exp Details'!$D$84:$D$106,'Function-Grant'!M$4,'Exp Details'!$H$84:$H$106)</f>
        <v>0</v>
      </c>
      <c r="N70" s="39">
        <f>SUMIF('Exp Details'!$D$84:$D$106,'Function-Grant'!N$4,'Exp Details'!$H$84:$H$106)</f>
        <v>0</v>
      </c>
      <c r="O70" s="39">
        <f>SUMIF('Exp Details'!$D$84:$D$106,'Function-Grant'!O$4,'Exp Details'!$H$84:$H$106)</f>
        <v>0</v>
      </c>
      <c r="P70" s="370">
        <f>SUMIF('Exp Details'!$D$84:$D$106,'Function-Grant'!P$4,'Exp Details'!$H$84:$H$106)</f>
        <v>62514.239999999998</v>
      </c>
      <c r="Q70" s="39">
        <f>SUMIF('Exp Details'!$D$84:$D$106,'Function-Grant'!Q$4,'Exp Details'!$H$84:$H$106)</f>
        <v>0</v>
      </c>
      <c r="R70" s="39">
        <f>SUMIF('Exp Details'!$D$84:$D$106,'Function-Grant'!R$4,'Exp Details'!$H$84:$H$106)</f>
        <v>0</v>
      </c>
      <c r="S70" s="39">
        <f>SUMIF('Exp Details'!$D$84:$D$106,'Function-Grant'!S$4,'Exp Details'!$H$84:$H$106)</f>
        <v>0</v>
      </c>
      <c r="T70" s="39">
        <f>SUMIF('Exp Details'!$D$84:$D$106,'Function-Grant'!T$4,'Exp Details'!$H$84:$H$106)</f>
        <v>0</v>
      </c>
      <c r="U70" s="370">
        <f>SUMIF('Exp Details'!$D$84:$D$106,'Function-Grant'!U$4,'Exp Details'!$H$84:$H$106)</f>
        <v>0</v>
      </c>
      <c r="V70" s="39">
        <f>SUMIF('Exp Details'!$D$84:$D$106,'Function-Grant'!V$4,'Exp Details'!$H$84:$H$106)</f>
        <v>0</v>
      </c>
      <c r="W70" s="39">
        <f>SUMIF('Exp Details'!$D$84:$D$106,'Function-Grant'!W$4,'Exp Details'!$H$84:$H$106)</f>
        <v>0</v>
      </c>
      <c r="X70" s="39">
        <f>SUMIF('Exp Details'!$D$84:$D$106,'Function-Grant'!X$4,'Exp Details'!$H$84:$H$106)</f>
        <v>0</v>
      </c>
      <c r="Y70" s="39">
        <f>SUMIF('Exp Details'!$D$84:$D$106,'Function-Grant'!Y$4,'Exp Details'!$H$84:$H$106)</f>
        <v>0</v>
      </c>
      <c r="Z70" s="39">
        <f>SUMIF('Exp Details'!$D$84:$D$106,'Function-Grant'!Z$4,'Exp Details'!$H$84:$H$106)</f>
        <v>0</v>
      </c>
      <c r="AA70" s="39">
        <f>SUMIF('Exp Details'!$D$84:$D$106,'Function-Grant'!AA$4,'Exp Details'!$H$84:$H$106)</f>
        <v>0</v>
      </c>
      <c r="AB70" s="39">
        <f>SUMIF('Exp Details'!$D$84:$D$106,'Function-Grant'!AB$4,'Exp Details'!$H$84:$H$106)</f>
        <v>0</v>
      </c>
      <c r="AC70" s="39">
        <f>SUMIF('Exp Details'!$D$84:$D$106,'Function-Grant'!AC$4,'Exp Details'!$H$84:$H$106)</f>
        <v>0</v>
      </c>
      <c r="AD70" s="39">
        <f>SUMIF('Exp Details'!$D$84:$D$106,'Function-Grant'!AD$4,'Exp Details'!$H$84:$H$106)</f>
        <v>0</v>
      </c>
      <c r="AE70" s="39">
        <f>SUMIF('Exp Details'!$D$84:$D$106,'Function-Grant'!AE$4,'Exp Details'!$H$84:$H$106)</f>
        <v>0</v>
      </c>
      <c r="AF70" s="39">
        <f>SUMIF('Exp Details'!$D$84:$D$106,'Function-Grant'!AF$4,'Exp Details'!$H$84:$H$106)</f>
        <v>0</v>
      </c>
      <c r="AG70" s="39">
        <f>SUMIF('Exp Details'!$D$84:$D$106,'Function-Grant'!AG$4,'Exp Details'!$H$84:$H$106)</f>
        <v>0</v>
      </c>
      <c r="AH70" s="39">
        <f>SUMIF('Exp Details'!$D$84:$D$106,'Function-Grant'!AH$4,'Exp Details'!$H$84:$H$106)</f>
        <v>0</v>
      </c>
      <c r="AI70" s="39">
        <f>SUMIF('Exp Details'!$D$84:$D$106,'Function-Grant'!AI$4,'Exp Details'!$H$84:$H$106)</f>
        <v>0</v>
      </c>
      <c r="AJ70" s="39">
        <f>SUMIF('Exp Details'!$D$84:$D$106,'Function-Grant'!AJ$4,'Exp Details'!$H$84:$H$106)</f>
        <v>0</v>
      </c>
      <c r="AK70" s="39">
        <f>SUMIF('Exp Details'!$D$84:$D$106,'Function-Grant'!AK$4,'Exp Details'!$H$84:$H$106)</f>
        <v>0</v>
      </c>
      <c r="AL70" s="39">
        <f>SUMIF('Exp Details'!$D$84:$D$106,'Function-Grant'!AL$4,'Exp Details'!$H$84:$H$106)</f>
        <v>0</v>
      </c>
      <c r="AM70" s="39">
        <f>SUMIF('Exp Details'!$D$84:$D$106,'Function-Grant'!AM$4,'Exp Details'!$H$84:$H$106)</f>
        <v>0</v>
      </c>
      <c r="AN70" s="39">
        <f>SUMIF('Exp Details'!$D$84:$D$106,'Function-Grant'!AN$4,'Exp Details'!$H$84:$H$106)</f>
        <v>0</v>
      </c>
      <c r="AO70" s="41"/>
      <c r="AP70" s="59">
        <f t="shared" si="33"/>
        <v>62514.239999999998</v>
      </c>
      <c r="AQ70" s="41"/>
      <c r="AR70" s="258">
        <f>AP70-'FY21'!S70</f>
        <v>0</v>
      </c>
    </row>
    <row r="71" spans="3:44" s="37" customFormat="1" ht="12" x14ac:dyDescent="0.2">
      <c r="C71" s="199">
        <v>6345</v>
      </c>
      <c r="D71" s="37" t="s">
        <v>16</v>
      </c>
      <c r="E71" s="39">
        <f>SUMIF('Exp Details'!$D$110:$D$117,'Function-Grant'!E$4,'Exp Details'!$H$110:$H$117)</f>
        <v>0</v>
      </c>
      <c r="F71" s="39">
        <f>SUMIF('Exp Details'!$D$110:$D$117,'Function-Grant'!F$4,'Exp Details'!$H$110:$H$117)</f>
        <v>0</v>
      </c>
      <c r="G71" s="39">
        <f>SUMIF('Exp Details'!$D$110:$D$117,'Function-Grant'!G$4,'Exp Details'!$H$110:$H$117)</f>
        <v>0</v>
      </c>
      <c r="H71" s="39">
        <f>SUMIF('Exp Details'!$D$110:$D$117,'Function-Grant'!H$4,'Exp Details'!$H$110:$H$117)</f>
        <v>0</v>
      </c>
      <c r="I71" s="39">
        <f>SUMIF('Exp Details'!$D$110:$D$117,'Function-Grant'!I$4,'Exp Details'!$H$110:$H$117)</f>
        <v>0</v>
      </c>
      <c r="J71" s="39">
        <f>SUMIF('Exp Details'!$D$110:$D$117,'Function-Grant'!J$4,'Exp Details'!$H$110:$H$117)</f>
        <v>0</v>
      </c>
      <c r="K71" s="39">
        <f>SUMIF('Exp Details'!$D$110:$D$117,'Function-Grant'!K$4,'Exp Details'!$H$110:$H$117)</f>
        <v>0</v>
      </c>
      <c r="L71" s="39">
        <f>SUMIF('Exp Details'!$D$110:$D$117,'Function-Grant'!L$4,'Exp Details'!$H$110:$H$117)</f>
        <v>0</v>
      </c>
      <c r="M71" s="39">
        <f>SUMIF('Exp Details'!$D$110:$D$117,'Function-Grant'!M$4,'Exp Details'!$H$110:$H$117)</f>
        <v>0</v>
      </c>
      <c r="N71" s="39">
        <f>SUMIF('Exp Details'!$D$110:$D$117,'Function-Grant'!N$4,'Exp Details'!$H$110:$H$117)</f>
        <v>0</v>
      </c>
      <c r="O71" s="39">
        <f>SUMIF('Exp Details'!$D$110:$D$117,'Function-Grant'!O$4,'Exp Details'!$H$110:$H$117)</f>
        <v>0</v>
      </c>
      <c r="P71" s="39">
        <f>SUMIF('Exp Details'!$D$110:$D$117,'Function-Grant'!P$4,'Exp Details'!$H$110:$H$117)</f>
        <v>0</v>
      </c>
      <c r="Q71" s="39">
        <f>SUMIF('Exp Details'!$D$110:$D$117,'Function-Grant'!Q$4,'Exp Details'!$H$110:$H$117)</f>
        <v>21900</v>
      </c>
      <c r="R71" s="39">
        <f>SUMIF('Exp Details'!$D$110:$D$117,'Function-Grant'!R$4,'Exp Details'!$H$110:$H$117)</f>
        <v>0</v>
      </c>
      <c r="S71" s="39">
        <f>SUMIF('Exp Details'!$D$110:$D$117,'Function-Grant'!S$4,'Exp Details'!$H$110:$H$117)</f>
        <v>0</v>
      </c>
      <c r="T71" s="39">
        <f>SUMIF('Exp Details'!$D$110:$D$117,'Function-Grant'!T$4,'Exp Details'!$H$110:$H$117)</f>
        <v>0</v>
      </c>
      <c r="U71" s="39">
        <f>SUMIF('Exp Details'!$D$110:$D$117,'Function-Grant'!U$4,'Exp Details'!$H$110:$H$117)</f>
        <v>0</v>
      </c>
      <c r="V71" s="39">
        <f>SUMIF('Exp Details'!$D$110:$D$117,'Function-Grant'!V$4,'Exp Details'!$H$110:$H$117)</f>
        <v>0</v>
      </c>
      <c r="W71" s="39">
        <f>SUMIF('Exp Details'!$D$110:$D$117,'Function-Grant'!W$4,'Exp Details'!$H$110:$H$117)</f>
        <v>0</v>
      </c>
      <c r="X71" s="39">
        <f>SUMIF('Exp Details'!$D$110:$D$117,'Function-Grant'!X$4,'Exp Details'!$H$110:$H$117)</f>
        <v>0</v>
      </c>
      <c r="Y71" s="39">
        <f>SUMIF('Exp Details'!$D$110:$D$117,'Function-Grant'!Y$4,'Exp Details'!$H$110:$H$117)</f>
        <v>0</v>
      </c>
      <c r="Z71" s="39">
        <f>SUMIF('Exp Details'!$D$110:$D$117,'Function-Grant'!Z$4,'Exp Details'!$H$110:$H$117)</f>
        <v>0</v>
      </c>
      <c r="AA71" s="39">
        <f>SUMIF('Exp Details'!$D$110:$D$117,'Function-Grant'!AA$4,'Exp Details'!$H$110:$H$117)</f>
        <v>0</v>
      </c>
      <c r="AB71" s="39">
        <f>SUMIF('Exp Details'!$D$110:$D$117,'Function-Grant'!AB$4,'Exp Details'!$H$110:$H$117)</f>
        <v>0</v>
      </c>
      <c r="AC71" s="39">
        <f>SUMIF('Exp Details'!$D$110:$D$117,'Function-Grant'!AC$4,'Exp Details'!$H$110:$H$117)</f>
        <v>0</v>
      </c>
      <c r="AD71" s="39">
        <f>SUMIF('Exp Details'!$D$110:$D$117,'Function-Grant'!AD$4,'Exp Details'!$H$110:$H$117)</f>
        <v>0</v>
      </c>
      <c r="AE71" s="39">
        <f>SUMIF('Exp Details'!$D$110:$D$117,'Function-Grant'!AE$4,'Exp Details'!$H$110:$H$117)</f>
        <v>0</v>
      </c>
      <c r="AF71" s="39">
        <f>SUMIF('Exp Details'!$D$110:$D$117,'Function-Grant'!AF$4,'Exp Details'!$H$110:$H$117)</f>
        <v>0</v>
      </c>
      <c r="AG71" s="39">
        <f>SUMIF('Exp Details'!$D$110:$D$117,'Function-Grant'!AG$4,'Exp Details'!$H$110:$H$117)</f>
        <v>0</v>
      </c>
      <c r="AH71" s="39">
        <f>SUMIF('Exp Details'!$D$110:$D$117,'Function-Grant'!AH$4,'Exp Details'!$H$110:$H$117)</f>
        <v>0</v>
      </c>
      <c r="AI71" s="39">
        <f>SUMIF('Exp Details'!$D$110:$D$117,'Function-Grant'!AI$4,'Exp Details'!$H$110:$H$117)</f>
        <v>0</v>
      </c>
      <c r="AJ71" s="39">
        <f>SUMIF('Exp Details'!$D$110:$D$117,'Function-Grant'!AJ$4,'Exp Details'!$H$110:$H$117)</f>
        <v>0</v>
      </c>
      <c r="AK71" s="39">
        <f>SUMIF('Exp Details'!$D$110:$D$117,'Function-Grant'!AK$4,'Exp Details'!$H$110:$H$117)</f>
        <v>0</v>
      </c>
      <c r="AL71" s="39">
        <f>SUMIF('Exp Details'!$D$110:$D$117,'Function-Grant'!AL$4,'Exp Details'!$H$110:$H$117)</f>
        <v>0</v>
      </c>
      <c r="AM71" s="39">
        <f>SUMIF('Exp Details'!$D$110:$D$117,'Function-Grant'!AM$4,'Exp Details'!$H$110:$H$117)</f>
        <v>0</v>
      </c>
      <c r="AN71" s="39">
        <f>SUMIF('Exp Details'!$D$110:$D$117,'Function-Grant'!AN$4,'Exp Details'!$H$110:$H$117)</f>
        <v>0</v>
      </c>
      <c r="AO71" s="41"/>
      <c r="AP71" s="59">
        <f t="shared" si="33"/>
        <v>21900</v>
      </c>
      <c r="AQ71" s="41"/>
      <c r="AR71" s="258">
        <f>AP71-'FY21'!S71</f>
        <v>0</v>
      </c>
    </row>
    <row r="72" spans="3:44" s="37" customFormat="1" ht="12" x14ac:dyDescent="0.2">
      <c r="C72" s="199">
        <v>6350</v>
      </c>
      <c r="D72" s="37" t="s">
        <v>17</v>
      </c>
      <c r="E72" s="39">
        <f>SUMIF('Exp Details'!$D$121:$D$124,'Function-Grant'!E$4,'Exp Details'!$H$121:$H$124)</f>
        <v>0</v>
      </c>
      <c r="F72" s="39">
        <f>SUMIF('Exp Details'!$D$121:$D$124,'Function-Grant'!F$4,'Exp Details'!$H$121:$H$124)</f>
        <v>0</v>
      </c>
      <c r="G72" s="39">
        <f>SUMIF('Exp Details'!$D$121:$D$124,'Function-Grant'!G$4,'Exp Details'!$H$121:$H$124)</f>
        <v>0</v>
      </c>
      <c r="H72" s="39">
        <f>SUMIF('Exp Details'!$D$121:$D$124,'Function-Grant'!H$4,'Exp Details'!$H$121:$H$124)</f>
        <v>0</v>
      </c>
      <c r="I72" s="39">
        <f>SUMIF('Exp Details'!$D$121:$D$124,'Function-Grant'!I$4,'Exp Details'!$H$121:$H$124)</f>
        <v>0</v>
      </c>
      <c r="J72" s="39">
        <f>SUMIF('Exp Details'!$D$121:$D$124,'Function-Grant'!J$4,'Exp Details'!$H$121:$H$124)</f>
        <v>0</v>
      </c>
      <c r="K72" s="39">
        <f>SUMIF('Exp Details'!$D$121:$D$124,'Function-Grant'!K$4,'Exp Details'!$H$121:$H$124)</f>
        <v>0</v>
      </c>
      <c r="L72" s="39">
        <f>SUMIF('Exp Details'!$D$121:$D$124,'Function-Grant'!L$4,'Exp Details'!$H$121:$H$124)</f>
        <v>0</v>
      </c>
      <c r="M72" s="39">
        <f>SUMIF('Exp Details'!$D$121:$D$124,'Function-Grant'!M$4,'Exp Details'!$H$121:$H$124)</f>
        <v>0</v>
      </c>
      <c r="N72" s="39">
        <f>SUMIF('Exp Details'!$D$121:$D$124,'Function-Grant'!N$4,'Exp Details'!$H$121:$H$124)</f>
        <v>0</v>
      </c>
      <c r="O72" s="39">
        <f>SUMIF('Exp Details'!$D$121:$D$124,'Function-Grant'!O$4,'Exp Details'!$H$121:$H$124)</f>
        <v>0</v>
      </c>
      <c r="P72" s="39">
        <f>SUMIF('Exp Details'!$D$121:$D$124,'Function-Grant'!P$4,'Exp Details'!$H$121:$H$124)</f>
        <v>0</v>
      </c>
      <c r="Q72" s="39">
        <f>SUMIF('Exp Details'!$D$121:$D$124,'Function-Grant'!Q$4,'Exp Details'!$H$121:$H$124)</f>
        <v>0</v>
      </c>
      <c r="R72" s="39">
        <f>SUMIF('Exp Details'!$D$121:$D$124,'Function-Grant'!R$4,'Exp Details'!$H$121:$H$124)</f>
        <v>0</v>
      </c>
      <c r="S72" s="370">
        <f>SUMIF('Exp Details'!$D$121:$D$124,'Function-Grant'!S$4,'Exp Details'!$H$121:$H$124)</f>
        <v>6200</v>
      </c>
      <c r="T72" s="39">
        <f>SUMIF('Exp Details'!$D$121:$D$124,'Function-Grant'!T$4,'Exp Details'!$H$121:$H$124)</f>
        <v>0</v>
      </c>
      <c r="U72" s="39">
        <f>SUMIF('Exp Details'!$D$121:$D$124,'Function-Grant'!U$4,'Exp Details'!$H$121:$H$124)</f>
        <v>0</v>
      </c>
      <c r="V72" s="39">
        <f>SUMIF('Exp Details'!$D$121:$D$124,'Function-Grant'!V$4,'Exp Details'!$H$121:$H$124)</f>
        <v>0</v>
      </c>
      <c r="W72" s="39">
        <f>SUMIF('Exp Details'!$D$121:$D$124,'Function-Grant'!W$4,'Exp Details'!$H$121:$H$124)</f>
        <v>0</v>
      </c>
      <c r="X72" s="39">
        <f>SUMIF('Exp Details'!$D$121:$D$124,'Function-Grant'!X$4,'Exp Details'!$H$121:$H$124)</f>
        <v>0</v>
      </c>
      <c r="Y72" s="39">
        <f>SUMIF('Exp Details'!$D$121:$D$124,'Function-Grant'!Y$4,'Exp Details'!$H$121:$H$124)</f>
        <v>0</v>
      </c>
      <c r="Z72" s="39">
        <f>SUMIF('Exp Details'!$D$121:$D$124,'Function-Grant'!Z$4,'Exp Details'!$H$121:$H$124)</f>
        <v>0</v>
      </c>
      <c r="AA72" s="39">
        <f>SUMIF('Exp Details'!$D$121:$D$124,'Function-Grant'!AA$4,'Exp Details'!$H$121:$H$124)</f>
        <v>0</v>
      </c>
      <c r="AB72" s="39">
        <f>SUMIF('Exp Details'!$D$121:$D$124,'Function-Grant'!AB$4,'Exp Details'!$H$121:$H$124)</f>
        <v>0</v>
      </c>
      <c r="AC72" s="39">
        <f>SUMIF('Exp Details'!$D$121:$D$124,'Function-Grant'!AC$4,'Exp Details'!$H$121:$H$124)</f>
        <v>0</v>
      </c>
      <c r="AD72" s="39">
        <f>SUMIF('Exp Details'!$D$121:$D$124,'Function-Grant'!AD$4,'Exp Details'!$H$121:$H$124)</f>
        <v>0</v>
      </c>
      <c r="AE72" s="39">
        <f>SUMIF('Exp Details'!$D$121:$D$124,'Function-Grant'!AE$4,'Exp Details'!$H$121:$H$124)</f>
        <v>0</v>
      </c>
      <c r="AF72" s="39">
        <f>SUMIF('Exp Details'!$D$121:$D$124,'Function-Grant'!AF$4,'Exp Details'!$H$121:$H$124)</f>
        <v>0</v>
      </c>
      <c r="AG72" s="39">
        <f>SUMIF('Exp Details'!$D$121:$D$124,'Function-Grant'!AG$4,'Exp Details'!$H$121:$H$124)</f>
        <v>0</v>
      </c>
      <c r="AH72" s="39">
        <f>SUMIF('Exp Details'!$D$121:$D$124,'Function-Grant'!AH$4,'Exp Details'!$H$121:$H$124)</f>
        <v>0</v>
      </c>
      <c r="AI72" s="39">
        <f>SUMIF('Exp Details'!$D$121:$D$124,'Function-Grant'!AI$4,'Exp Details'!$H$121:$H$124)</f>
        <v>0</v>
      </c>
      <c r="AJ72" s="39">
        <f>SUMIF('Exp Details'!$D$121:$D$124,'Function-Grant'!AJ$4,'Exp Details'!$H$121:$H$124)</f>
        <v>0</v>
      </c>
      <c r="AK72" s="39">
        <f>SUMIF('Exp Details'!$D$121:$D$124,'Function-Grant'!AK$4,'Exp Details'!$H$121:$H$124)</f>
        <v>0</v>
      </c>
      <c r="AL72" s="39">
        <f>SUMIF('Exp Details'!$D$121:$D$124,'Function-Grant'!AL$4,'Exp Details'!$H$121:$H$124)</f>
        <v>0</v>
      </c>
      <c r="AM72" s="39">
        <f>SUMIF('Exp Details'!$D$121:$D$124,'Function-Grant'!AM$4,'Exp Details'!$H$121:$H$124)</f>
        <v>0</v>
      </c>
      <c r="AN72" s="39">
        <f>SUMIF('Exp Details'!$D$121:$D$124,'Function-Grant'!AN$4,'Exp Details'!$H$121:$H$124)</f>
        <v>0</v>
      </c>
      <c r="AO72" s="41"/>
      <c r="AP72" s="59">
        <f t="shared" si="33"/>
        <v>6200</v>
      </c>
      <c r="AQ72" s="41"/>
      <c r="AR72" s="258">
        <f>AP72-'FY21'!S72</f>
        <v>0</v>
      </c>
    </row>
    <row r="73" spans="3:44" s="37" customFormat="1" ht="12" x14ac:dyDescent="0.2">
      <c r="C73" s="199">
        <v>6351</v>
      </c>
      <c r="D73" s="37" t="s">
        <v>18</v>
      </c>
      <c r="E73" s="39">
        <f>SUMIF('Exp Details'!$D$128:$D$139,'Function-Grant'!E$4,'Exp Details'!$H$128:$H$139)</f>
        <v>0</v>
      </c>
      <c r="F73" s="39">
        <f>SUMIF('Exp Details'!$D$128:$D$139,'Function-Grant'!F$4,'Exp Details'!$H$128:$H$139)</f>
        <v>0</v>
      </c>
      <c r="G73" s="39">
        <f>SUMIF('Exp Details'!$D$128:$D$139,'Function-Grant'!G$4,'Exp Details'!$H$128:$H$139)</f>
        <v>0</v>
      </c>
      <c r="H73" s="39">
        <f>SUMIF('Exp Details'!$D$128:$D$139,'Function-Grant'!H$4,'Exp Details'!$H$128:$H$139)</f>
        <v>0</v>
      </c>
      <c r="I73" s="39">
        <f>SUMIF('Exp Details'!$D$128:$D$139,'Function-Grant'!I$4,'Exp Details'!$H$128:$H$139)</f>
        <v>0</v>
      </c>
      <c r="J73" s="39">
        <f>SUMIF('Exp Details'!$D$128:$D$139,'Function-Grant'!J$4,'Exp Details'!$H$128:$H$139)</f>
        <v>0</v>
      </c>
      <c r="K73" s="39">
        <f>SUMIF('Exp Details'!$D$128:$D$139,'Function-Grant'!K$4,'Exp Details'!$H$128:$H$139)</f>
        <v>37619</v>
      </c>
      <c r="L73" s="39">
        <f>SUMIF('Exp Details'!$D$128:$D$139,'Function-Grant'!L$4,'Exp Details'!$H$128:$H$139)</f>
        <v>0</v>
      </c>
      <c r="M73" s="39">
        <f>SUMIF('Exp Details'!$D$128:$D$139,'Function-Grant'!M$4,'Exp Details'!$H$128:$H$139)</f>
        <v>0</v>
      </c>
      <c r="N73" s="39">
        <f>SUMIF('Exp Details'!$D$128:$D$139,'Function-Grant'!N$4,'Exp Details'!$H$128:$H$139)</f>
        <v>0</v>
      </c>
      <c r="O73" s="39">
        <f>SUMIF('Exp Details'!$D$128:$D$139,'Function-Grant'!O$4,'Exp Details'!$H$128:$H$139)</f>
        <v>0</v>
      </c>
      <c r="P73" s="39">
        <f>SUMIF('Exp Details'!$D$128:$D$139,'Function-Grant'!P$4,'Exp Details'!$H$128:$H$139)</f>
        <v>0</v>
      </c>
      <c r="Q73" s="39">
        <f>SUMIF('Exp Details'!$D$128:$D$139,'Function-Grant'!Q$4,'Exp Details'!$H$128:$H$139)</f>
        <v>0</v>
      </c>
      <c r="R73" s="39">
        <f>SUMIF('Exp Details'!$D$128:$D$139,'Function-Grant'!R$4,'Exp Details'!$H$128:$H$139)</f>
        <v>0</v>
      </c>
      <c r="S73" s="39">
        <f>SUMIF('Exp Details'!$D$128:$D$139,'Function-Grant'!S$4,'Exp Details'!$H$128:$H$139)</f>
        <v>0</v>
      </c>
      <c r="T73" s="39">
        <f>SUMIF('Exp Details'!$D$128:$D$139,'Function-Grant'!T$4,'Exp Details'!$H$128:$H$139)</f>
        <v>0</v>
      </c>
      <c r="U73" s="39">
        <f>SUMIF('Exp Details'!$D$128:$D$139,'Function-Grant'!U$4,'Exp Details'!$H$128:$H$139)</f>
        <v>0</v>
      </c>
      <c r="V73" s="39">
        <f>SUMIF('Exp Details'!$D$128:$D$139,'Function-Grant'!V$4,'Exp Details'!$H$128:$H$139)</f>
        <v>0</v>
      </c>
      <c r="W73" s="39">
        <f>SUMIF('Exp Details'!$D$128:$D$139,'Function-Grant'!W$4,'Exp Details'!$H$128:$H$139)</f>
        <v>0</v>
      </c>
      <c r="X73" s="39">
        <f>SUMIF('Exp Details'!$D$128:$D$139,'Function-Grant'!X$4,'Exp Details'!$H$128:$H$139)</f>
        <v>0</v>
      </c>
      <c r="Y73" s="39">
        <f>SUMIF('Exp Details'!$D$128:$D$139,'Function-Grant'!Y$4,'Exp Details'!$H$128:$H$139)</f>
        <v>0</v>
      </c>
      <c r="Z73" s="39">
        <f>SUMIF('Exp Details'!$D$128:$D$139,'Function-Grant'!Z$4,'Exp Details'!$H$128:$H$139)</f>
        <v>0</v>
      </c>
      <c r="AA73" s="39">
        <f>SUMIF('Exp Details'!$D$128:$D$139,'Function-Grant'!AA$4,'Exp Details'!$H$128:$H$139)</f>
        <v>0</v>
      </c>
      <c r="AB73" s="39">
        <f>SUMIF('Exp Details'!$D$128:$D$139,'Function-Grant'!AB$4,'Exp Details'!$H$128:$H$139)</f>
        <v>0</v>
      </c>
      <c r="AC73" s="39">
        <f>SUMIF('Exp Details'!$D$128:$D$139,'Function-Grant'!AC$4,'Exp Details'!$H$128:$H$139)</f>
        <v>0</v>
      </c>
      <c r="AD73" s="39">
        <f>SUMIF('Exp Details'!$D$128:$D$139,'Function-Grant'!AD$4,'Exp Details'!$H$128:$H$139)</f>
        <v>0</v>
      </c>
      <c r="AE73" s="39">
        <f>SUMIF('Exp Details'!$D$128:$D$139,'Function-Grant'!AE$4,'Exp Details'!$H$128:$H$139)</f>
        <v>0</v>
      </c>
      <c r="AF73" s="39">
        <f>SUMIF('Exp Details'!$D$128:$D$139,'Function-Grant'!AF$4,'Exp Details'!$H$128:$H$139)</f>
        <v>0</v>
      </c>
      <c r="AG73" s="39">
        <f>SUMIF('Exp Details'!$D$128:$D$139,'Function-Grant'!AG$4,'Exp Details'!$H$128:$H$139)</f>
        <v>0</v>
      </c>
      <c r="AH73" s="39">
        <f>SUMIF('Exp Details'!$D$128:$D$139,'Function-Grant'!AH$4,'Exp Details'!$H$128:$H$139)</f>
        <v>0</v>
      </c>
      <c r="AI73" s="39">
        <f>SUMIF('Exp Details'!$D$128:$D$139,'Function-Grant'!AI$4,'Exp Details'!$H$128:$H$139)</f>
        <v>0</v>
      </c>
      <c r="AJ73" s="39">
        <f>SUMIF('Exp Details'!$D$128:$D$139,'Function-Grant'!AJ$4,'Exp Details'!$H$128:$H$139)</f>
        <v>0</v>
      </c>
      <c r="AK73" s="39">
        <f>SUMIF('Exp Details'!$D$128:$D$139,'Function-Grant'!AK$4,'Exp Details'!$H$128:$H$139)</f>
        <v>0</v>
      </c>
      <c r="AL73" s="39">
        <f>SUMIF('Exp Details'!$D$128:$D$139,'Function-Grant'!AL$4,'Exp Details'!$H$128:$H$139)</f>
        <v>0</v>
      </c>
      <c r="AM73" s="39">
        <f>SUMIF('Exp Details'!$D$128:$D$139,'Function-Grant'!AM$4,'Exp Details'!$H$128:$H$139)</f>
        <v>0</v>
      </c>
      <c r="AN73" s="39">
        <f>SUMIF('Exp Details'!$D$128:$D$139,'Function-Grant'!AN$4,'Exp Details'!$H$128:$H$139)</f>
        <v>0</v>
      </c>
      <c r="AO73" s="41"/>
      <c r="AP73" s="59">
        <f t="shared" si="33"/>
        <v>37619</v>
      </c>
      <c r="AQ73" s="41"/>
      <c r="AR73" s="258">
        <f>AP73-'FY21'!S73</f>
        <v>0</v>
      </c>
    </row>
    <row r="74" spans="3:44" s="37" customFormat="1" ht="12" x14ac:dyDescent="0.2">
      <c r="C74" s="38"/>
      <c r="E74" s="50">
        <f t="shared" ref="E74:AN74" si="34">SUBTOTAL(9,E64:E73)</f>
        <v>0</v>
      </c>
      <c r="F74" s="50">
        <f>SUBTOTAL(9,F64:F73)</f>
        <v>17565</v>
      </c>
      <c r="G74" s="50">
        <f>SUBTOTAL(9,G64:G73)</f>
        <v>0</v>
      </c>
      <c r="H74" s="50">
        <f t="shared" si="34"/>
        <v>48000</v>
      </c>
      <c r="I74" s="50">
        <f t="shared" si="34"/>
        <v>1875</v>
      </c>
      <c r="J74" s="50">
        <f t="shared" si="34"/>
        <v>0</v>
      </c>
      <c r="K74" s="50">
        <f t="shared" si="34"/>
        <v>37619</v>
      </c>
      <c r="L74" s="50">
        <f t="shared" si="34"/>
        <v>0</v>
      </c>
      <c r="M74" s="50">
        <f t="shared" si="34"/>
        <v>9458</v>
      </c>
      <c r="N74" s="50">
        <f t="shared" si="34"/>
        <v>2255</v>
      </c>
      <c r="O74" s="50">
        <f t="shared" si="34"/>
        <v>38670</v>
      </c>
      <c r="P74" s="50">
        <f t="shared" ref="P74" si="35">SUBTOTAL(9,P64:P73)</f>
        <v>62514.239999999998</v>
      </c>
      <c r="Q74" s="50">
        <f t="shared" si="34"/>
        <v>21900</v>
      </c>
      <c r="R74" s="50">
        <f t="shared" ref="R74:AG74" si="36">SUBTOTAL(9,R64:R73)</f>
        <v>0</v>
      </c>
      <c r="S74" s="50">
        <f t="shared" si="36"/>
        <v>6200</v>
      </c>
      <c r="T74" s="50">
        <f t="shared" si="36"/>
        <v>0</v>
      </c>
      <c r="U74" s="50">
        <f t="shared" si="36"/>
        <v>0</v>
      </c>
      <c r="V74" s="50">
        <f t="shared" si="36"/>
        <v>0</v>
      </c>
      <c r="W74" s="50">
        <f t="shared" si="36"/>
        <v>0</v>
      </c>
      <c r="X74" s="50">
        <f t="shared" si="36"/>
        <v>0</v>
      </c>
      <c r="Y74" s="50">
        <f t="shared" si="36"/>
        <v>0</v>
      </c>
      <c r="Z74" s="50">
        <f t="shared" si="36"/>
        <v>0</v>
      </c>
      <c r="AA74" s="50">
        <f t="shared" si="36"/>
        <v>0</v>
      </c>
      <c r="AB74" s="50">
        <f t="shared" si="36"/>
        <v>0</v>
      </c>
      <c r="AC74" s="50">
        <f t="shared" si="36"/>
        <v>0</v>
      </c>
      <c r="AD74" s="50">
        <f t="shared" si="36"/>
        <v>0</v>
      </c>
      <c r="AE74" s="50">
        <f t="shared" si="36"/>
        <v>0</v>
      </c>
      <c r="AF74" s="50">
        <f t="shared" si="36"/>
        <v>0</v>
      </c>
      <c r="AG74" s="50">
        <f t="shared" si="36"/>
        <v>0</v>
      </c>
      <c r="AH74" s="50">
        <f t="shared" si="34"/>
        <v>0</v>
      </c>
      <c r="AI74" s="50">
        <f t="shared" si="34"/>
        <v>0</v>
      </c>
      <c r="AJ74" s="50">
        <f t="shared" si="34"/>
        <v>9000</v>
      </c>
      <c r="AK74" s="50">
        <f t="shared" ref="AK74" si="37">SUBTOTAL(9,AK64:AK73)</f>
        <v>800</v>
      </c>
      <c r="AL74" s="50">
        <f t="shared" si="34"/>
        <v>800</v>
      </c>
      <c r="AM74" s="50">
        <f t="shared" ref="AM74" si="38">SUBTOTAL(9,AM64:AM73)</f>
        <v>2400</v>
      </c>
      <c r="AN74" s="50">
        <f t="shared" si="34"/>
        <v>5600</v>
      </c>
      <c r="AO74" s="41"/>
      <c r="AP74" s="61">
        <f t="shared" ref="AP74" si="39">SUBTOTAL(9,AP64:AP73)</f>
        <v>264656.24</v>
      </c>
      <c r="AQ74" s="41"/>
      <c r="AR74" s="258">
        <f>AP74-'FY21'!S74</f>
        <v>0</v>
      </c>
    </row>
    <row r="75" spans="3:44" s="37" customFormat="1" ht="12" x14ac:dyDescent="0.2">
      <c r="C75" s="49" t="s">
        <v>100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41"/>
      <c r="AP75" s="59"/>
      <c r="AQ75" s="41"/>
      <c r="AR75" s="258">
        <f>AP75-'FY21'!S75</f>
        <v>0</v>
      </c>
    </row>
    <row r="76" spans="3:44" s="37" customFormat="1" ht="12" x14ac:dyDescent="0.2">
      <c r="C76" s="199">
        <v>6410</v>
      </c>
      <c r="D76" s="37" t="s">
        <v>19</v>
      </c>
      <c r="E76" s="39">
        <f>SUMIF('Exp Details'!$D$144:$D$147,'Function-Grant'!E$4,'Exp Details'!$H$144:$H$147)</f>
        <v>0</v>
      </c>
      <c r="F76" s="39">
        <f>SUMIF('Exp Details'!$D$144:$D$147,'Function-Grant'!F$4,'Exp Details'!$H$144:$H$147)</f>
        <v>0</v>
      </c>
      <c r="G76" s="39">
        <f>SUMIF('Exp Details'!$D$144:$D$147,'Function-Grant'!G$4,'Exp Details'!$H$144:$H$147)</f>
        <v>0</v>
      </c>
      <c r="H76" s="39">
        <f>SUMIF('Exp Details'!$D$144:$D$147,'Function-Grant'!H$4,'Exp Details'!$H$144:$H$147)</f>
        <v>0</v>
      </c>
      <c r="I76" s="39">
        <f>SUMIF('Exp Details'!$D$144:$D$147,'Function-Grant'!I$4,'Exp Details'!$H$144:$H$147)</f>
        <v>0</v>
      </c>
      <c r="J76" s="39">
        <f>SUMIF('Exp Details'!$D$144:$D$147,'Function-Grant'!J$4,'Exp Details'!$H$144:$H$147)</f>
        <v>0</v>
      </c>
      <c r="K76" s="39">
        <f>SUMIF('Exp Details'!$D$144:$D$147,'Function-Grant'!K$4,'Exp Details'!$H$144:$H$147)</f>
        <v>0</v>
      </c>
      <c r="L76" s="39">
        <f>SUMIF('Exp Details'!$D$144:$D$147,'Function-Grant'!L$4,'Exp Details'!$H$144:$H$147)</f>
        <v>0</v>
      </c>
      <c r="M76" s="39">
        <f>SUMIF('Exp Details'!$D$144:$D$147,'Function-Grant'!M$4,'Exp Details'!$H$144:$H$147)</f>
        <v>0</v>
      </c>
      <c r="N76" s="39">
        <f>SUMIF('Exp Details'!$D$144:$D$147,'Function-Grant'!N$4,'Exp Details'!$H$144:$H$147)</f>
        <v>0</v>
      </c>
      <c r="O76" s="39">
        <f>SUMIF('Exp Details'!$D$144:$D$147,'Function-Grant'!O$4,'Exp Details'!$H$144:$H$147)</f>
        <v>0</v>
      </c>
      <c r="P76" s="39">
        <f>SUMIF('Exp Details'!$D$144:$D$147,'Function-Grant'!P$4,'Exp Details'!$H$144:$H$147)</f>
        <v>0</v>
      </c>
      <c r="Q76" s="39">
        <f>SUMIF('Exp Details'!$D$144:$D$147,'Function-Grant'!Q$4,'Exp Details'!$H$144:$H$147)</f>
        <v>0</v>
      </c>
      <c r="R76" s="39">
        <f>SUMIF('Exp Details'!$D$144:$D$147,'Function-Grant'!R$4,'Exp Details'!$H$144:$H$147)</f>
        <v>0</v>
      </c>
      <c r="S76" s="39">
        <f>SUMIF('Exp Details'!$D$144:$D$147,'Function-Grant'!S$4,'Exp Details'!$H$144:$H$147)</f>
        <v>0</v>
      </c>
      <c r="T76" s="39">
        <f>SUMIF('Exp Details'!$D$144:$D$147,'Function-Grant'!T$4,'Exp Details'!$H$144:$H$147)</f>
        <v>0</v>
      </c>
      <c r="U76" s="370">
        <f>SUMIF('Exp Details'!$D$144:$D$147,'Function-Grant'!U$4,'Exp Details'!$H$144:$H$147)</f>
        <v>0</v>
      </c>
      <c r="V76" s="39">
        <f>SUMIF('Exp Details'!$D$144:$D$147,'Function-Grant'!V$4,'Exp Details'!$H$144:$H$147)</f>
        <v>0</v>
      </c>
      <c r="W76" s="39">
        <f>SUMIF('Exp Details'!$D$144:$D$147,'Function-Grant'!W$4,'Exp Details'!$H$144:$H$147)</f>
        <v>0</v>
      </c>
      <c r="X76" s="39">
        <f>SUMIF('Exp Details'!$D$144:$D$147,'Function-Grant'!X$4,'Exp Details'!$H$144:$H$147)</f>
        <v>0</v>
      </c>
      <c r="Y76" s="39">
        <f>SUMIF('Exp Details'!$D$144:$D$147,'Function-Grant'!Y$4,'Exp Details'!$H$144:$H$147)</f>
        <v>0</v>
      </c>
      <c r="Z76" s="39">
        <f>SUMIF('Exp Details'!$D$144:$D$147,'Function-Grant'!Z$4,'Exp Details'!$H$144:$H$147)</f>
        <v>0</v>
      </c>
      <c r="AA76" s="39">
        <f>SUMIF('Exp Details'!$D$144:$D$147,'Function-Grant'!AA$4,'Exp Details'!$H$144:$H$147)</f>
        <v>0</v>
      </c>
      <c r="AB76" s="39">
        <f>SUMIF('Exp Details'!$D$144:$D$147,'Function-Grant'!AB$4,'Exp Details'!$H$144:$H$147)</f>
        <v>0</v>
      </c>
      <c r="AC76" s="39">
        <f>SUMIF('Exp Details'!$D$144:$D$147,'Function-Grant'!AC$4,'Exp Details'!$H$144:$H$147)</f>
        <v>0</v>
      </c>
      <c r="AD76" s="39">
        <f>SUMIF('Exp Details'!$D$144:$D$147,'Function-Grant'!AD$4,'Exp Details'!$H$144:$H$147)</f>
        <v>0</v>
      </c>
      <c r="AE76" s="39">
        <f>SUMIF('Exp Details'!$D$144:$D$147,'Function-Grant'!AE$4,'Exp Details'!$H$144:$H$147)</f>
        <v>0</v>
      </c>
      <c r="AF76" s="39">
        <f>SUMIF('Exp Details'!$D$144:$D$147,'Function-Grant'!AF$4,'Exp Details'!$H$144:$H$147)</f>
        <v>0</v>
      </c>
      <c r="AG76" s="39">
        <f>SUMIF('Exp Details'!$D$144:$D$147,'Function-Grant'!AG$4,'Exp Details'!$H$144:$H$147)</f>
        <v>0</v>
      </c>
      <c r="AH76" s="39">
        <f>SUMIF('Exp Details'!$D$144:$D$147,'Function-Grant'!AH$4,'Exp Details'!$H$144:$H$147)</f>
        <v>0</v>
      </c>
      <c r="AI76" s="39">
        <f>SUMIF('Exp Details'!$D$144:$D$147,'Function-Grant'!AI$4,'Exp Details'!$H$144:$H$147)</f>
        <v>0</v>
      </c>
      <c r="AJ76" s="39">
        <f>SUMIF('Exp Details'!$D$144:$D$147,'Function-Grant'!AJ$4,'Exp Details'!$H$144:$H$147)</f>
        <v>0</v>
      </c>
      <c r="AK76" s="39">
        <f>SUMIF('Exp Details'!$D$144:$D$147,'Function-Grant'!AK$4,'Exp Details'!$H$144:$H$147)</f>
        <v>0</v>
      </c>
      <c r="AL76" s="39">
        <f>SUMIF('Exp Details'!$D$144:$D$147,'Function-Grant'!AL$4,'Exp Details'!$H$144:$H$147)</f>
        <v>0</v>
      </c>
      <c r="AM76" s="39">
        <f>SUMIF('Exp Details'!$D$144:$D$147,'Function-Grant'!AM$4,'Exp Details'!$H$144:$H$147)</f>
        <v>0</v>
      </c>
      <c r="AN76" s="39">
        <f>SUMIF('Exp Details'!$D$144:$D$147,'Function-Grant'!AN$4,'Exp Details'!$H$144:$H$147)</f>
        <v>0</v>
      </c>
      <c r="AO76" s="41"/>
      <c r="AP76" s="59">
        <f>SUM(E76:AO76)</f>
        <v>0</v>
      </c>
      <c r="AQ76" s="41"/>
      <c r="AR76" s="258">
        <f>AP76-'FY21'!S76</f>
        <v>0</v>
      </c>
    </row>
    <row r="77" spans="3:44" s="37" customFormat="1" ht="12" x14ac:dyDescent="0.2">
      <c r="C77" s="199">
        <v>6420</v>
      </c>
      <c r="D77" s="37" t="s">
        <v>20</v>
      </c>
      <c r="E77" s="39">
        <f>SUMIF('Exp Details'!$D$151:$D$155,'Function-Grant'!E$4,'Exp Details'!$H$151:$H$155)</f>
        <v>0</v>
      </c>
      <c r="F77" s="39">
        <f>SUMIF('Exp Details'!$D$151:$D$155,'Function-Grant'!F$4,'Exp Details'!$H$151:$H$155)</f>
        <v>0</v>
      </c>
      <c r="G77" s="39">
        <f>SUMIF('Exp Details'!$D$151:$D$155,'Function-Grant'!G$4,'Exp Details'!$H$151:$H$155)</f>
        <v>0</v>
      </c>
      <c r="H77" s="39">
        <f>SUMIF('Exp Details'!$D$151:$D$155,'Function-Grant'!H$4,'Exp Details'!$H$151:$H$155)</f>
        <v>0</v>
      </c>
      <c r="I77" s="39">
        <f>SUMIF('Exp Details'!$D$151:$D$155,'Function-Grant'!I$4,'Exp Details'!$H$151:$H$155)</f>
        <v>0</v>
      </c>
      <c r="J77" s="39">
        <f>SUMIF('Exp Details'!$D$151:$D$155,'Function-Grant'!J$4,'Exp Details'!$H$151:$H$155)</f>
        <v>0</v>
      </c>
      <c r="K77" s="39">
        <f>SUMIF('Exp Details'!$D$151:$D$155,'Function-Grant'!K$4,'Exp Details'!$H$151:$H$155)</f>
        <v>0</v>
      </c>
      <c r="L77" s="39">
        <f>SUMIF('Exp Details'!$D$151:$D$155,'Function-Grant'!L$4,'Exp Details'!$H$151:$H$155)</f>
        <v>0</v>
      </c>
      <c r="M77" s="39">
        <f>SUMIF('Exp Details'!$D$151:$D$155,'Function-Grant'!M$4,'Exp Details'!$H$151:$H$155)</f>
        <v>0</v>
      </c>
      <c r="N77" s="39">
        <f>SUMIF('Exp Details'!$D$151:$D$155,'Function-Grant'!N$4,'Exp Details'!$H$151:$H$155)</f>
        <v>0</v>
      </c>
      <c r="O77" s="39">
        <f>SUMIF('Exp Details'!$D$151:$D$155,'Function-Grant'!O$4,'Exp Details'!$H$151:$H$155)</f>
        <v>0</v>
      </c>
      <c r="P77" s="39">
        <f>SUMIF('Exp Details'!$D$151:$D$155,'Function-Grant'!P$4,'Exp Details'!$H$151:$H$155)</f>
        <v>0</v>
      </c>
      <c r="Q77" s="39">
        <f>SUMIF('Exp Details'!$D$151:$D$155,'Function-Grant'!Q$4,'Exp Details'!$H$151:$H$155)</f>
        <v>0</v>
      </c>
      <c r="R77" s="39">
        <f>SUMIF('Exp Details'!$D$151:$D$155,'Function-Grant'!R$4,'Exp Details'!$H$151:$H$155)</f>
        <v>0</v>
      </c>
      <c r="S77" s="39">
        <f>SUMIF('Exp Details'!$D$151:$D$155,'Function-Grant'!S$4,'Exp Details'!$H$151:$H$155)</f>
        <v>0</v>
      </c>
      <c r="T77" s="39">
        <f>SUMIF('Exp Details'!$D$151:$D$155,'Function-Grant'!T$4,'Exp Details'!$H$151:$H$155)</f>
        <v>0</v>
      </c>
      <c r="U77" s="39">
        <f>SUMIF('Exp Details'!$D$151:$D$155,'Function-Grant'!U$4,'Exp Details'!$H$151:$H$155)</f>
        <v>0</v>
      </c>
      <c r="V77" s="370">
        <f>SUMIF('Exp Details'!$D$151:$D$155,'Function-Grant'!V$4,'Exp Details'!$H$151:$H$155)</f>
        <v>5620</v>
      </c>
      <c r="W77" s="39">
        <f>SUMIF('Exp Details'!$D$151:$D$155,'Function-Grant'!W$4,'Exp Details'!$H$151:$H$155)</f>
        <v>0</v>
      </c>
      <c r="X77" s="39">
        <f>SUMIF('Exp Details'!$D$151:$D$155,'Function-Grant'!X$4,'Exp Details'!$H$151:$H$155)</f>
        <v>0</v>
      </c>
      <c r="Y77" s="39">
        <f>SUMIF('Exp Details'!$D$151:$D$155,'Function-Grant'!Y$4,'Exp Details'!$H$151:$H$155)</f>
        <v>0</v>
      </c>
      <c r="Z77" s="39">
        <f>SUMIF('Exp Details'!$D$151:$D$155,'Function-Grant'!Z$4,'Exp Details'!$H$151:$H$155)</f>
        <v>0</v>
      </c>
      <c r="AA77" s="39">
        <f>SUMIF('Exp Details'!$D$151:$D$155,'Function-Grant'!AA$4,'Exp Details'!$H$151:$H$155)</f>
        <v>0</v>
      </c>
      <c r="AB77" s="39">
        <f>SUMIF('Exp Details'!$D$151:$D$155,'Function-Grant'!AB$4,'Exp Details'!$H$151:$H$155)</f>
        <v>0</v>
      </c>
      <c r="AC77" s="39">
        <f>SUMIF('Exp Details'!$D$151:$D$155,'Function-Grant'!AC$4,'Exp Details'!$H$151:$H$155)</f>
        <v>0</v>
      </c>
      <c r="AD77" s="39">
        <f>SUMIF('Exp Details'!$D$151:$D$155,'Function-Grant'!AD$4,'Exp Details'!$H$151:$H$155)</f>
        <v>0</v>
      </c>
      <c r="AE77" s="39">
        <f>SUMIF('Exp Details'!$D$151:$D$155,'Function-Grant'!AE$4,'Exp Details'!$H$151:$H$155)</f>
        <v>0</v>
      </c>
      <c r="AF77" s="39">
        <f>SUMIF('Exp Details'!$D$151:$D$155,'Function-Grant'!AF$4,'Exp Details'!$H$151:$H$155)</f>
        <v>0</v>
      </c>
      <c r="AG77" s="39">
        <f>SUMIF('Exp Details'!$D$151:$D$155,'Function-Grant'!AG$4,'Exp Details'!$H$151:$H$155)</f>
        <v>0</v>
      </c>
      <c r="AH77" s="39">
        <f>SUMIF('Exp Details'!$D$151:$D$155,'Function-Grant'!AH$4,'Exp Details'!$H$151:$H$155)</f>
        <v>0</v>
      </c>
      <c r="AI77" s="39">
        <f>SUMIF('Exp Details'!$D$151:$D$155,'Function-Grant'!AI$4,'Exp Details'!$H$151:$H$155)</f>
        <v>0</v>
      </c>
      <c r="AJ77" s="39">
        <f>SUMIF('Exp Details'!$D$151:$D$155,'Function-Grant'!AJ$4,'Exp Details'!$H$151:$H$155)</f>
        <v>0</v>
      </c>
      <c r="AK77" s="39">
        <f>SUMIF('Exp Details'!$D$151:$D$155,'Function-Grant'!AK$4,'Exp Details'!$H$151:$H$155)</f>
        <v>0</v>
      </c>
      <c r="AL77" s="39">
        <f>SUMIF('Exp Details'!$D$151:$D$155,'Function-Grant'!AL$4,'Exp Details'!$H$151:$H$155)</f>
        <v>0</v>
      </c>
      <c r="AM77" s="39">
        <f>SUMIF('Exp Details'!$D$151:$D$155,'Function-Grant'!AM$4,'Exp Details'!$H$151:$H$155)</f>
        <v>0</v>
      </c>
      <c r="AN77" s="39">
        <f>SUMIF('Exp Details'!$D$151:$D$155,'Function-Grant'!AN$4,'Exp Details'!$H$151:$H$155)</f>
        <v>0</v>
      </c>
      <c r="AO77" s="41"/>
      <c r="AP77" s="59">
        <f>SUM(E77:AO77)</f>
        <v>5620</v>
      </c>
      <c r="AQ77" s="41"/>
      <c r="AR77" s="258">
        <f>AP77-'FY21'!S77</f>
        <v>0</v>
      </c>
    </row>
    <row r="78" spans="3:44" s="37" customFormat="1" ht="12" x14ac:dyDescent="0.2">
      <c r="C78" s="199">
        <v>6430</v>
      </c>
      <c r="D78" s="37" t="s">
        <v>21</v>
      </c>
      <c r="E78" s="39">
        <f>SUMIF('Exp Details'!$D$159:$D$163,'Function-Grant'!E$4,'Exp Details'!$H$159:$H$163)</f>
        <v>0</v>
      </c>
      <c r="F78" s="39">
        <f>SUMIF('Exp Details'!$D$159:$D$163,'Function-Grant'!F$4,'Exp Details'!$H$159:$H$163)</f>
        <v>0</v>
      </c>
      <c r="G78" s="39">
        <f>SUMIF('Exp Details'!$D$159:$D$163,'Function-Grant'!G$4,'Exp Details'!$H$159:$H$163)</f>
        <v>0</v>
      </c>
      <c r="H78" s="39">
        <f>SUMIF('Exp Details'!$D$159:$D$163,'Function-Grant'!H$4,'Exp Details'!$H$159:$H$163)</f>
        <v>0</v>
      </c>
      <c r="I78" s="39">
        <f>SUMIF('Exp Details'!$D$159:$D$163,'Function-Grant'!I$4,'Exp Details'!$H$159:$H$163)</f>
        <v>0</v>
      </c>
      <c r="J78" s="39">
        <f>SUMIF('Exp Details'!$D$159:$D$163,'Function-Grant'!J$4,'Exp Details'!$H$159:$H$163)</f>
        <v>0</v>
      </c>
      <c r="K78" s="39">
        <f>SUMIF('Exp Details'!$D$159:$D$163,'Function-Grant'!K$4,'Exp Details'!$H$159:$H$163)</f>
        <v>0</v>
      </c>
      <c r="L78" s="39">
        <f>SUMIF('Exp Details'!$D$159:$D$163,'Function-Grant'!L$4,'Exp Details'!$H$159:$H$163)</f>
        <v>0</v>
      </c>
      <c r="M78" s="39">
        <f>SUMIF('Exp Details'!$D$159:$D$163,'Function-Grant'!M$4,'Exp Details'!$H$159:$H$163)</f>
        <v>0</v>
      </c>
      <c r="N78" s="39">
        <f>SUMIF('Exp Details'!$D$159:$D$163,'Function-Grant'!N$4,'Exp Details'!$H$159:$H$163)</f>
        <v>0</v>
      </c>
      <c r="O78" s="39">
        <f>SUMIF('Exp Details'!$D$159:$D$163,'Function-Grant'!O$4,'Exp Details'!$H$159:$H$163)</f>
        <v>0</v>
      </c>
      <c r="P78" s="39">
        <f>SUMIF('Exp Details'!$D$159:$D$163,'Function-Grant'!P$4,'Exp Details'!$H$159:$H$163)</f>
        <v>0</v>
      </c>
      <c r="Q78" s="39">
        <f>SUMIF('Exp Details'!$D$159:$D$163,'Function-Grant'!Q$4,'Exp Details'!$H$159:$H$163)</f>
        <v>0</v>
      </c>
      <c r="R78" s="39">
        <f>SUMIF('Exp Details'!$D$159:$D$163,'Function-Grant'!R$4,'Exp Details'!$H$159:$H$163)</f>
        <v>0</v>
      </c>
      <c r="S78" s="39">
        <f>SUMIF('Exp Details'!$D$159:$D$163,'Function-Grant'!S$4,'Exp Details'!$H$159:$H$163)</f>
        <v>0</v>
      </c>
      <c r="T78" s="39">
        <f>SUMIF('Exp Details'!$D$159:$D$163,'Function-Grant'!T$4,'Exp Details'!$H$159:$H$163)</f>
        <v>0</v>
      </c>
      <c r="U78" s="39">
        <f>SUMIF('Exp Details'!$D$159:$D$163,'Function-Grant'!U$4,'Exp Details'!$H$159:$H$163)</f>
        <v>0</v>
      </c>
      <c r="V78" s="370">
        <f>SUMIF('Exp Details'!$D$159:$D$163,'Function-Grant'!V$4,'Exp Details'!$H$159:$H$163)</f>
        <v>600</v>
      </c>
      <c r="W78" s="39">
        <f>SUMIF('Exp Details'!$D$159:$D$163,'Function-Grant'!W$4,'Exp Details'!$H$159:$H$163)</f>
        <v>0</v>
      </c>
      <c r="X78" s="39">
        <f>SUMIF('Exp Details'!$D$159:$D$163,'Function-Grant'!X$4,'Exp Details'!$H$159:$H$163)</f>
        <v>0</v>
      </c>
      <c r="Y78" s="39">
        <f>SUMIF('Exp Details'!$D$159:$D$163,'Function-Grant'!Y$4,'Exp Details'!$H$159:$H$163)</f>
        <v>0</v>
      </c>
      <c r="Z78" s="39">
        <f>SUMIF('Exp Details'!$D$159:$D$163,'Function-Grant'!Z$4,'Exp Details'!$H$159:$H$163)</f>
        <v>0</v>
      </c>
      <c r="AA78" s="39">
        <f>SUMIF('Exp Details'!$D$159:$D$163,'Function-Grant'!AA$4,'Exp Details'!$H$159:$H$163)</f>
        <v>0</v>
      </c>
      <c r="AB78" s="39">
        <f>SUMIF('Exp Details'!$D$159:$D$163,'Function-Grant'!AB$4,'Exp Details'!$H$159:$H$163)</f>
        <v>0</v>
      </c>
      <c r="AC78" s="39">
        <f>SUMIF('Exp Details'!$D$159:$D$163,'Function-Grant'!AC$4,'Exp Details'!$H$159:$H$163)</f>
        <v>0</v>
      </c>
      <c r="AD78" s="39">
        <f>SUMIF('Exp Details'!$D$159:$D$163,'Function-Grant'!AD$4,'Exp Details'!$H$159:$H$163)</f>
        <v>0</v>
      </c>
      <c r="AE78" s="39">
        <f>SUMIF('Exp Details'!$D$159:$D$163,'Function-Grant'!AE$4,'Exp Details'!$H$159:$H$163)</f>
        <v>0</v>
      </c>
      <c r="AF78" s="39">
        <f>SUMIF('Exp Details'!$D$159:$D$163,'Function-Grant'!AF$4,'Exp Details'!$H$159:$H$163)</f>
        <v>0</v>
      </c>
      <c r="AG78" s="39">
        <f>SUMIF('Exp Details'!$D$159:$D$163,'Function-Grant'!AG$4,'Exp Details'!$H$159:$H$163)</f>
        <v>0</v>
      </c>
      <c r="AH78" s="39">
        <f>SUMIF('Exp Details'!$D$159:$D$163,'Function-Grant'!AH$4,'Exp Details'!$H$159:$H$163)</f>
        <v>0</v>
      </c>
      <c r="AI78" s="39">
        <f>SUMIF('Exp Details'!$D$159:$D$163,'Function-Grant'!AI$4,'Exp Details'!$H$159:$H$163)</f>
        <v>0</v>
      </c>
      <c r="AJ78" s="39">
        <f>SUMIF('Exp Details'!$D$159:$D$163,'Function-Grant'!AJ$4,'Exp Details'!$H$159:$H$163)</f>
        <v>0</v>
      </c>
      <c r="AK78" s="39">
        <f>SUMIF('Exp Details'!$D$159:$D$163,'Function-Grant'!AK$4,'Exp Details'!$H$159:$H$163)</f>
        <v>0</v>
      </c>
      <c r="AL78" s="39">
        <f>SUMIF('Exp Details'!$D$159:$D$163,'Function-Grant'!AL$4,'Exp Details'!$H$159:$H$163)</f>
        <v>0</v>
      </c>
      <c r="AM78" s="39">
        <f>SUMIF('Exp Details'!$D$159:$D$163,'Function-Grant'!AM$4,'Exp Details'!$H$159:$H$163)</f>
        <v>0</v>
      </c>
      <c r="AN78" s="39">
        <f>SUMIF('Exp Details'!$D$159:$D$163,'Function-Grant'!AN$4,'Exp Details'!$H$159:$H$163)</f>
        <v>0</v>
      </c>
      <c r="AO78" s="41"/>
      <c r="AP78" s="59">
        <f>SUM(E78:AO78)</f>
        <v>600</v>
      </c>
      <c r="AQ78" s="41"/>
      <c r="AR78" s="258">
        <f>AP78-'FY21'!S78</f>
        <v>0</v>
      </c>
    </row>
    <row r="79" spans="3:44" s="37" customFormat="1" ht="12" x14ac:dyDescent="0.2">
      <c r="C79" s="199">
        <v>6441</v>
      </c>
      <c r="D79" s="37" t="s">
        <v>22</v>
      </c>
      <c r="E79" s="39">
        <f>SUMIF('Exp Details'!$D$167:$D$178,'Function-Grant'!E$4,'Exp Details'!$H$167:$H$178)</f>
        <v>0</v>
      </c>
      <c r="F79" s="370">
        <f>SUMIF('Exp Details'!$D$167:$D$178,'Function-Grant'!F$4,'Exp Details'!$H$167:$H$178)</f>
        <v>41200</v>
      </c>
      <c r="G79" s="39">
        <f>SUMIF('Exp Details'!$D$167:$D$178,'Function-Grant'!G$4,'Exp Details'!$H$167:$H$178)</f>
        <v>0</v>
      </c>
      <c r="H79" s="39">
        <f>SUMIF('Exp Details'!$D$167:$D$178,'Function-Grant'!H$4,'Exp Details'!$H$167:$H$178)</f>
        <v>0</v>
      </c>
      <c r="I79" s="39">
        <f>SUMIF('Exp Details'!$D$167:$D$178,'Function-Grant'!I$4,'Exp Details'!$H$167:$H$178)</f>
        <v>0</v>
      </c>
      <c r="J79" s="39">
        <f>SUMIF('Exp Details'!$D$167:$D$178,'Function-Grant'!J$4,'Exp Details'!$H$167:$H$178)</f>
        <v>0</v>
      </c>
      <c r="K79" s="39">
        <f>SUMIF('Exp Details'!$D$167:$D$178,'Function-Grant'!K$4,'Exp Details'!$H$167:$H$178)</f>
        <v>0</v>
      </c>
      <c r="L79" s="39">
        <f>SUMIF('Exp Details'!$D$167:$D$178,'Function-Grant'!L$4,'Exp Details'!$H$167:$H$178)</f>
        <v>0</v>
      </c>
      <c r="M79" s="39">
        <f>SUMIF('Exp Details'!$D$167:$D$178,'Function-Grant'!M$4,'Exp Details'!$H$167:$H$178)</f>
        <v>0</v>
      </c>
      <c r="N79" s="39">
        <f>SUMIF('Exp Details'!$D$167:$D$178,'Function-Grant'!N$4,'Exp Details'!$H$167:$H$178)</f>
        <v>0</v>
      </c>
      <c r="O79" s="39">
        <f>SUMIF('Exp Details'!$D$167:$D$178,'Function-Grant'!O$4,'Exp Details'!$H$167:$H$178)</f>
        <v>0</v>
      </c>
      <c r="P79" s="39">
        <f>SUMIF('Exp Details'!$D$167:$D$178,'Function-Grant'!P$4,'Exp Details'!$H$167:$H$178)</f>
        <v>0</v>
      </c>
      <c r="Q79" s="39">
        <f>SUMIF('Exp Details'!$D$167:$D$178,'Function-Grant'!Q$4,'Exp Details'!$H$167:$H$178)</f>
        <v>0</v>
      </c>
      <c r="R79" s="39">
        <f>SUMIF('Exp Details'!$D$167:$D$178,'Function-Grant'!R$4,'Exp Details'!$H$167:$H$178)</f>
        <v>0</v>
      </c>
      <c r="S79" s="39">
        <f>SUMIF('Exp Details'!$D$167:$D$178,'Function-Grant'!S$4,'Exp Details'!$H$167:$H$178)</f>
        <v>0</v>
      </c>
      <c r="T79" s="39">
        <f>SUMIF('Exp Details'!$D$167:$D$178,'Function-Grant'!T$4,'Exp Details'!$H$167:$H$178)</f>
        <v>0</v>
      </c>
      <c r="U79" s="370">
        <f>SUMIF('Exp Details'!$D$167:$D$178,'Function-Grant'!U$4,'Exp Details'!$H$167:$H$178)</f>
        <v>62556</v>
      </c>
      <c r="V79" s="39">
        <f>SUMIF('Exp Details'!$D$167:$D$178,'Function-Grant'!V$4,'Exp Details'!$H$167:$H$178)</f>
        <v>0</v>
      </c>
      <c r="W79" s="39">
        <f>SUMIF('Exp Details'!$D$167:$D$178,'Function-Grant'!W$4,'Exp Details'!$H$167:$H$178)</f>
        <v>0</v>
      </c>
      <c r="X79" s="39">
        <f>SUMIF('Exp Details'!$D$167:$D$178,'Function-Grant'!X$4,'Exp Details'!$H$167:$H$178)</f>
        <v>0</v>
      </c>
      <c r="Y79" s="39">
        <f>SUMIF('Exp Details'!$D$167:$D$178,'Function-Grant'!Y$4,'Exp Details'!$H$167:$H$178)</f>
        <v>0</v>
      </c>
      <c r="Z79" s="39">
        <f>SUMIF('Exp Details'!$D$167:$D$178,'Function-Grant'!Z$4,'Exp Details'!$H$167:$H$178)</f>
        <v>0</v>
      </c>
      <c r="AA79" s="39">
        <f>SUMIF('Exp Details'!$D$167:$D$178,'Function-Grant'!AA$4,'Exp Details'!$H$167:$H$178)</f>
        <v>0</v>
      </c>
      <c r="AB79" s="39">
        <f>SUMIF('Exp Details'!$D$167:$D$178,'Function-Grant'!AB$4,'Exp Details'!$H$167:$H$178)</f>
        <v>0</v>
      </c>
      <c r="AC79" s="39">
        <f>SUMIF('Exp Details'!$D$167:$D$178,'Function-Grant'!AC$4,'Exp Details'!$H$167:$H$178)</f>
        <v>0</v>
      </c>
      <c r="AD79" s="39">
        <f>SUMIF('Exp Details'!$D$167:$D$178,'Function-Grant'!AD$4,'Exp Details'!$H$167:$H$178)</f>
        <v>0</v>
      </c>
      <c r="AE79" s="39">
        <f>SUMIF('Exp Details'!$D$167:$D$178,'Function-Grant'!AE$4,'Exp Details'!$H$167:$H$178)</f>
        <v>0</v>
      </c>
      <c r="AF79" s="39">
        <f>SUMIF('Exp Details'!$D$167:$D$178,'Function-Grant'!AF$4,'Exp Details'!$H$167:$H$178)</f>
        <v>0</v>
      </c>
      <c r="AG79" s="39">
        <f>SUMIF('Exp Details'!$D$167:$D$178,'Function-Grant'!AG$4,'Exp Details'!$H$167:$H$178)</f>
        <v>0</v>
      </c>
      <c r="AH79" s="39">
        <f>SUMIF('Exp Details'!$D$167:$D$178,'Function-Grant'!AH$4,'Exp Details'!$H$167:$H$178)</f>
        <v>0</v>
      </c>
      <c r="AI79" s="39">
        <f>SUMIF('Exp Details'!$D$167:$D$178,'Function-Grant'!AI$4,'Exp Details'!$H$167:$H$178)</f>
        <v>0</v>
      </c>
      <c r="AJ79" s="39">
        <f>SUMIF('Exp Details'!$D$167:$D$178,'Function-Grant'!AJ$4,'Exp Details'!$H$167:$H$178)</f>
        <v>0</v>
      </c>
      <c r="AK79" s="39">
        <f>SUMIF('Exp Details'!$D$167:$D$178,'Function-Grant'!AK$4,'Exp Details'!$H$167:$H$178)</f>
        <v>0</v>
      </c>
      <c r="AL79" s="39">
        <f>SUMIF('Exp Details'!$D$167:$D$178,'Function-Grant'!AL$4,'Exp Details'!$H$167:$H$178)</f>
        <v>0</v>
      </c>
      <c r="AM79" s="39">
        <f>SUMIF('Exp Details'!$D$167:$D$178,'Function-Grant'!AM$4,'Exp Details'!$H$167:$H$178)</f>
        <v>0</v>
      </c>
      <c r="AN79" s="39">
        <f>SUMIF('Exp Details'!$D$167:$D$178,'Function-Grant'!AN$4,'Exp Details'!$H$167:$H$178)</f>
        <v>0</v>
      </c>
      <c r="AO79" s="41"/>
      <c r="AP79" s="59">
        <f>SUM(E79:AO79)</f>
        <v>103756</v>
      </c>
      <c r="AQ79" s="41"/>
      <c r="AR79" s="258">
        <f>AP79-'FY21'!S79</f>
        <v>0</v>
      </c>
    </row>
    <row r="80" spans="3:44" s="37" customFormat="1" ht="12" x14ac:dyDescent="0.2">
      <c r="C80" s="38"/>
      <c r="E80" s="50">
        <f t="shared" ref="E80:AN80" si="40">SUBTOTAL(9,E76:E79)</f>
        <v>0</v>
      </c>
      <c r="F80" s="50">
        <f>SUBTOTAL(9,F76:F79)</f>
        <v>41200</v>
      </c>
      <c r="G80" s="50">
        <f>SUBTOTAL(9,G76:G79)</f>
        <v>0</v>
      </c>
      <c r="H80" s="50">
        <f t="shared" si="40"/>
        <v>0</v>
      </c>
      <c r="I80" s="50">
        <f t="shared" si="40"/>
        <v>0</v>
      </c>
      <c r="J80" s="50">
        <f t="shared" si="40"/>
        <v>0</v>
      </c>
      <c r="K80" s="50">
        <f t="shared" si="40"/>
        <v>0</v>
      </c>
      <c r="L80" s="50">
        <f t="shared" si="40"/>
        <v>0</v>
      </c>
      <c r="M80" s="50">
        <f t="shared" si="40"/>
        <v>0</v>
      </c>
      <c r="N80" s="50">
        <f t="shared" si="40"/>
        <v>0</v>
      </c>
      <c r="O80" s="50">
        <f t="shared" si="40"/>
        <v>0</v>
      </c>
      <c r="P80" s="50">
        <f t="shared" ref="P80" si="41">SUBTOTAL(9,P76:P79)</f>
        <v>0</v>
      </c>
      <c r="Q80" s="50">
        <f t="shared" si="40"/>
        <v>0</v>
      </c>
      <c r="R80" s="50">
        <f t="shared" ref="R80:AG80" si="42">SUBTOTAL(9,R76:R79)</f>
        <v>0</v>
      </c>
      <c r="S80" s="50">
        <f t="shared" si="42"/>
        <v>0</v>
      </c>
      <c r="T80" s="50">
        <f t="shared" si="42"/>
        <v>0</v>
      </c>
      <c r="U80" s="50">
        <f t="shared" si="42"/>
        <v>62556</v>
      </c>
      <c r="V80" s="50">
        <f t="shared" si="42"/>
        <v>6220</v>
      </c>
      <c r="W80" s="50">
        <f t="shared" si="42"/>
        <v>0</v>
      </c>
      <c r="X80" s="50">
        <f t="shared" si="42"/>
        <v>0</v>
      </c>
      <c r="Y80" s="50">
        <f t="shared" si="42"/>
        <v>0</v>
      </c>
      <c r="Z80" s="50">
        <f t="shared" si="42"/>
        <v>0</v>
      </c>
      <c r="AA80" s="50">
        <f t="shared" si="42"/>
        <v>0</v>
      </c>
      <c r="AB80" s="50">
        <f t="shared" si="42"/>
        <v>0</v>
      </c>
      <c r="AC80" s="50">
        <f t="shared" si="42"/>
        <v>0</v>
      </c>
      <c r="AD80" s="50">
        <f t="shared" si="42"/>
        <v>0</v>
      </c>
      <c r="AE80" s="50">
        <f t="shared" si="42"/>
        <v>0</v>
      </c>
      <c r="AF80" s="50">
        <f t="shared" si="42"/>
        <v>0</v>
      </c>
      <c r="AG80" s="50">
        <f t="shared" si="42"/>
        <v>0</v>
      </c>
      <c r="AH80" s="50">
        <f t="shared" si="40"/>
        <v>0</v>
      </c>
      <c r="AI80" s="50">
        <f t="shared" si="40"/>
        <v>0</v>
      </c>
      <c r="AJ80" s="50">
        <f t="shared" si="40"/>
        <v>0</v>
      </c>
      <c r="AK80" s="50">
        <f t="shared" ref="AK80" si="43">SUBTOTAL(9,AK76:AK79)</f>
        <v>0</v>
      </c>
      <c r="AL80" s="50">
        <f t="shared" si="40"/>
        <v>0</v>
      </c>
      <c r="AM80" s="50">
        <f t="shared" ref="AM80" si="44">SUBTOTAL(9,AM76:AM79)</f>
        <v>0</v>
      </c>
      <c r="AN80" s="50">
        <f t="shared" si="40"/>
        <v>0</v>
      </c>
      <c r="AO80" s="41"/>
      <c r="AP80" s="61">
        <f t="shared" ref="AP80" si="45">SUBTOTAL(9,AP76:AP79)</f>
        <v>109976</v>
      </c>
      <c r="AQ80" s="41"/>
      <c r="AR80" s="258">
        <f>AP80-'FY21'!S80</f>
        <v>0</v>
      </c>
    </row>
    <row r="81" spans="3:44" s="37" customFormat="1" ht="12" x14ac:dyDescent="0.2">
      <c r="C81" s="49" t="s">
        <v>101</v>
      </c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41"/>
      <c r="AP81" s="59"/>
      <c r="AQ81" s="41"/>
      <c r="AR81" s="258">
        <f>AP81-'FY21'!S81</f>
        <v>0</v>
      </c>
    </row>
    <row r="82" spans="3:44" s="37" customFormat="1" ht="12" x14ac:dyDescent="0.2">
      <c r="C82" s="199">
        <v>6519</v>
      </c>
      <c r="D82" s="37" t="s">
        <v>234</v>
      </c>
      <c r="E82" s="39">
        <f>SUMIF('Exp Details'!$D$183:$D$186,'Function-Grant'!E$4,'Exp Details'!$H$183:$H$186)</f>
        <v>0</v>
      </c>
      <c r="F82" s="39">
        <f>SUMIF('Exp Details'!$D$183:$D$186,'Function-Grant'!F$4,'Exp Details'!$H$183:$H$186)</f>
        <v>0</v>
      </c>
      <c r="G82" s="39">
        <f>SUMIF('Exp Details'!$D$183:$D$186,'Function-Grant'!G$4,'Exp Details'!$H$183:$H$186)</f>
        <v>0</v>
      </c>
      <c r="H82" s="39">
        <f>SUMIF('Exp Details'!$D$183:$D$186,'Function-Grant'!H$4,'Exp Details'!$H$183:$H$186)</f>
        <v>0</v>
      </c>
      <c r="I82" s="39">
        <f>SUMIF('Exp Details'!$D$183:$D$186,'Function-Grant'!I$4,'Exp Details'!$H$183:$H$186)</f>
        <v>0</v>
      </c>
      <c r="J82" s="39">
        <f>SUMIF('Exp Details'!$D$183:$D$186,'Function-Grant'!J$4,'Exp Details'!$H$183:$H$186)</f>
        <v>0</v>
      </c>
      <c r="K82" s="39">
        <f>SUMIF('Exp Details'!$D$183:$D$186,'Function-Grant'!K$4,'Exp Details'!$H$183:$H$186)</f>
        <v>0</v>
      </c>
      <c r="L82" s="39">
        <f>SUMIF('Exp Details'!$D$183:$D$186,'Function-Grant'!L$4,'Exp Details'!$H$183:$H$186)</f>
        <v>0</v>
      </c>
      <c r="M82" s="39">
        <f>SUMIF('Exp Details'!$D$183:$D$186,'Function-Grant'!M$4,'Exp Details'!$H$183:$H$186)</f>
        <v>0</v>
      </c>
      <c r="N82" s="39">
        <f>SUMIF('Exp Details'!$D$183:$D$186,'Function-Grant'!N$4,'Exp Details'!$H$183:$H$186)</f>
        <v>0</v>
      </c>
      <c r="O82" s="39">
        <f>SUMIF('Exp Details'!$D$183:$D$186,'Function-Grant'!O$4,'Exp Details'!$H$183:$H$186)</f>
        <v>0</v>
      </c>
      <c r="P82" s="39">
        <f>SUMIF('Exp Details'!$D$183:$D$186,'Function-Grant'!P$4,'Exp Details'!$H$183:$H$186)</f>
        <v>0</v>
      </c>
      <c r="Q82" s="39">
        <f>SUMIF('Exp Details'!$D$183:$D$186,'Function-Grant'!Q$4,'Exp Details'!$H$183:$H$186)</f>
        <v>0</v>
      </c>
      <c r="R82" s="39">
        <f>SUMIF('Exp Details'!$D$183:$D$186,'Function-Grant'!R$4,'Exp Details'!$H$183:$H$186)</f>
        <v>0</v>
      </c>
      <c r="S82" s="39">
        <f>SUMIF('Exp Details'!$D$183:$D$186,'Function-Grant'!S$4,'Exp Details'!$H$183:$H$186)</f>
        <v>0</v>
      </c>
      <c r="T82" s="39">
        <f>SUMIF('Exp Details'!$D$183:$D$186,'Function-Grant'!T$4,'Exp Details'!$H$183:$H$186)</f>
        <v>0</v>
      </c>
      <c r="U82" s="39">
        <f>SUMIF('Exp Details'!$D$183:$D$186,'Function-Grant'!U$4,'Exp Details'!$H$183:$H$186)</f>
        <v>0</v>
      </c>
      <c r="V82" s="39">
        <f>SUMIF('Exp Details'!$D$183:$D$186,'Function-Grant'!V$4,'Exp Details'!$H$183:$H$186)</f>
        <v>0</v>
      </c>
      <c r="W82" s="370">
        <f>SUMIF('Exp Details'!$D$183:$D$186,'Function-Grant'!W$4,'Exp Details'!$H$183:$H$186)</f>
        <v>0</v>
      </c>
      <c r="X82" s="39">
        <f>SUMIF('Exp Details'!$D$183:$D$186,'Function-Grant'!X$4,'Exp Details'!$H$183:$H$186)</f>
        <v>0</v>
      </c>
      <c r="Y82" s="39">
        <f>SUMIF('Exp Details'!$D$183:$D$186,'Function-Grant'!Y$4,'Exp Details'!$H$183:$H$186)</f>
        <v>0</v>
      </c>
      <c r="Z82" s="39">
        <f>SUMIF('Exp Details'!$D$183:$D$186,'Function-Grant'!Z$4,'Exp Details'!$H$183:$H$186)</f>
        <v>0</v>
      </c>
      <c r="AA82" s="39">
        <f>SUMIF('Exp Details'!$D$183:$D$186,'Function-Grant'!AA$4,'Exp Details'!$H$183:$H$186)</f>
        <v>0</v>
      </c>
      <c r="AB82" s="39">
        <f>SUMIF('Exp Details'!$D$183:$D$186,'Function-Grant'!AB$4,'Exp Details'!$H$183:$H$186)</f>
        <v>0</v>
      </c>
      <c r="AC82" s="39">
        <f>SUMIF('Exp Details'!$D$183:$D$186,'Function-Grant'!AC$4,'Exp Details'!$H$183:$H$186)</f>
        <v>0</v>
      </c>
      <c r="AD82" s="39">
        <f>SUMIF('Exp Details'!$D$183:$D$186,'Function-Grant'!AD$4,'Exp Details'!$H$183:$H$186)</f>
        <v>0</v>
      </c>
      <c r="AE82" s="39">
        <f>SUMIF('Exp Details'!$D$183:$D$186,'Function-Grant'!AE$4,'Exp Details'!$H$183:$H$186)</f>
        <v>0</v>
      </c>
      <c r="AF82" s="39">
        <f>SUMIF('Exp Details'!$D$183:$D$186,'Function-Grant'!AF$4,'Exp Details'!$H$183:$H$186)</f>
        <v>0</v>
      </c>
      <c r="AG82" s="39">
        <f>SUMIF('Exp Details'!$D$183:$D$186,'Function-Grant'!AG$4,'Exp Details'!$H$183:$H$186)</f>
        <v>0</v>
      </c>
      <c r="AH82" s="39">
        <f>SUMIF('Exp Details'!$D$183:$D$186,'Function-Grant'!AH$4,'Exp Details'!$H$183:$H$186)</f>
        <v>0</v>
      </c>
      <c r="AI82" s="39">
        <f>SUMIF('Exp Details'!$D$183:$D$186,'Function-Grant'!AI$4,'Exp Details'!$H$183:$H$186)</f>
        <v>0</v>
      </c>
      <c r="AJ82" s="39">
        <f>SUMIF('Exp Details'!$D$183:$D$186,'Function-Grant'!AJ$4,'Exp Details'!$H$183:$H$186)</f>
        <v>0</v>
      </c>
      <c r="AK82" s="39">
        <f>SUMIF('Exp Details'!$D$183:$D$186,'Function-Grant'!AK$4,'Exp Details'!$H$183:$H$186)</f>
        <v>0</v>
      </c>
      <c r="AL82" s="39">
        <f>SUMIF('Exp Details'!$D$183:$D$186,'Function-Grant'!AL$4,'Exp Details'!$H$183:$H$186)</f>
        <v>0</v>
      </c>
      <c r="AM82" s="39">
        <f>SUMIF('Exp Details'!$D$183:$D$186,'Function-Grant'!AM$4,'Exp Details'!$H$183:$H$186)</f>
        <v>0</v>
      </c>
      <c r="AN82" s="39">
        <f>SUMIF('Exp Details'!$D$183:$D$186,'Function-Grant'!AN$4,'Exp Details'!$H$183:$H$186)</f>
        <v>0</v>
      </c>
      <c r="AO82" s="41"/>
      <c r="AP82" s="59">
        <f t="shared" ref="AP82:AP93" si="46">SUM(E82:AO82)</f>
        <v>0</v>
      </c>
      <c r="AQ82" s="41"/>
      <c r="AR82" s="258">
        <f>AP82-'FY21'!S82</f>
        <v>0</v>
      </c>
    </row>
    <row r="83" spans="3:44" s="37" customFormat="1" ht="12" x14ac:dyDescent="0.2">
      <c r="C83" s="199">
        <v>6521</v>
      </c>
      <c r="D83" s="37" t="s">
        <v>24</v>
      </c>
      <c r="E83" s="370">
        <f>SUMIF('Exp Details'!$D$190:$D$192,'Function-Grant'!E$4,'Exp Details'!$H$190:$H$192)</f>
        <v>0</v>
      </c>
      <c r="F83" s="370">
        <f>SUMIF('Exp Details'!$D$190:$D$192,'Function-Grant'!F$4,'Exp Details'!$H$190:$H$192)</f>
        <v>1780.0000000000002</v>
      </c>
      <c r="G83" s="39">
        <f>SUMIF('Exp Details'!$D$190:$D$192,'Function-Grant'!G$4,'Exp Details'!$H$190:$H$192)</f>
        <v>0</v>
      </c>
      <c r="H83" s="39">
        <f>SUMIF('Exp Details'!$D$190:$D$192,'Function-Grant'!H$4,'Exp Details'!$H$190:$H$192)</f>
        <v>0</v>
      </c>
      <c r="I83" s="39">
        <f>SUMIF('Exp Details'!$D$190:$D$192,'Function-Grant'!I$4,'Exp Details'!$H$190:$H$192)</f>
        <v>0</v>
      </c>
      <c r="J83" s="39">
        <f>SUMIF('Exp Details'!$D$190:$D$192,'Function-Grant'!J$4,'Exp Details'!$H$190:$H$192)</f>
        <v>0</v>
      </c>
      <c r="K83" s="39">
        <f>SUMIF('Exp Details'!$D$190:$D$192,'Function-Grant'!K$4,'Exp Details'!$H$190:$H$192)</f>
        <v>0</v>
      </c>
      <c r="L83" s="39">
        <f>SUMIF('Exp Details'!$D$190:$D$192,'Function-Grant'!L$4,'Exp Details'!$H$190:$H$192)</f>
        <v>0</v>
      </c>
      <c r="M83" s="39">
        <f>SUMIF('Exp Details'!$D$190:$D$192,'Function-Grant'!M$4,'Exp Details'!$H$190:$H$192)</f>
        <v>0</v>
      </c>
      <c r="N83" s="39">
        <f>SUMIF('Exp Details'!$D$190:$D$192,'Function-Grant'!N$4,'Exp Details'!$H$190:$H$192)</f>
        <v>0</v>
      </c>
      <c r="O83" s="39">
        <f>SUMIF('Exp Details'!$D$190:$D$192,'Function-Grant'!O$4,'Exp Details'!$H$190:$H$192)</f>
        <v>0</v>
      </c>
      <c r="P83" s="39">
        <f>SUMIF('Exp Details'!$D$190:$D$192,'Function-Grant'!P$4,'Exp Details'!$H$190:$H$192)</f>
        <v>0</v>
      </c>
      <c r="Q83" s="39">
        <f>SUMIF('Exp Details'!$D$190:$D$192,'Function-Grant'!Q$4,'Exp Details'!$H$190:$H$192)</f>
        <v>0</v>
      </c>
      <c r="R83" s="39">
        <f>SUMIF('Exp Details'!$D$190:$D$192,'Function-Grant'!R$4,'Exp Details'!$H$190:$H$192)</f>
        <v>0</v>
      </c>
      <c r="S83" s="39">
        <f>SUMIF('Exp Details'!$D$190:$D$192,'Function-Grant'!S$4,'Exp Details'!$H$190:$H$192)</f>
        <v>0</v>
      </c>
      <c r="T83" s="39">
        <f>SUMIF('Exp Details'!$D$190:$D$192,'Function-Grant'!T$4,'Exp Details'!$H$190:$H$192)</f>
        <v>0</v>
      </c>
      <c r="U83" s="39">
        <f>SUMIF('Exp Details'!$D$190:$D$192,'Function-Grant'!U$4,'Exp Details'!$H$190:$H$192)</f>
        <v>0</v>
      </c>
      <c r="V83" s="39">
        <f>SUMIF('Exp Details'!$D$190:$D$192,'Function-Grant'!V$4,'Exp Details'!$H$190:$H$192)</f>
        <v>0</v>
      </c>
      <c r="W83" s="39">
        <f>SUMIF('Exp Details'!$D$190:$D$192,'Function-Grant'!W$4,'Exp Details'!$H$190:$H$192)</f>
        <v>0</v>
      </c>
      <c r="X83" s="39">
        <f>SUMIF('Exp Details'!$D$190:$D$192,'Function-Grant'!X$4,'Exp Details'!$H$190:$H$192)</f>
        <v>0</v>
      </c>
      <c r="Y83" s="39">
        <f>SUMIF('Exp Details'!$D$190:$D$192,'Function-Grant'!Y$4,'Exp Details'!$H$190:$H$192)</f>
        <v>0</v>
      </c>
      <c r="Z83" s="39">
        <f>SUMIF('Exp Details'!$D$190:$D$192,'Function-Grant'!Z$4,'Exp Details'!$H$190:$H$192)</f>
        <v>0</v>
      </c>
      <c r="AA83" s="39">
        <f>SUMIF('Exp Details'!$D$190:$D$192,'Function-Grant'!AA$4,'Exp Details'!$H$190:$H$192)</f>
        <v>0</v>
      </c>
      <c r="AB83" s="39">
        <f>SUMIF('Exp Details'!$D$190:$D$192,'Function-Grant'!AB$4,'Exp Details'!$H$190:$H$192)</f>
        <v>0</v>
      </c>
      <c r="AC83" s="39">
        <f>SUMIF('Exp Details'!$D$190:$D$192,'Function-Grant'!AC$4,'Exp Details'!$H$190:$H$192)</f>
        <v>0</v>
      </c>
      <c r="AD83" s="39">
        <f>SUMIF('Exp Details'!$D$190:$D$192,'Function-Grant'!AD$4,'Exp Details'!$H$190:$H$192)</f>
        <v>0</v>
      </c>
      <c r="AE83" s="39">
        <f>SUMIF('Exp Details'!$D$190:$D$192,'Function-Grant'!AE$4,'Exp Details'!$H$190:$H$192)</f>
        <v>0</v>
      </c>
      <c r="AF83" s="39">
        <f>SUMIF('Exp Details'!$D$190:$D$192,'Function-Grant'!AF$4,'Exp Details'!$H$190:$H$192)</f>
        <v>0</v>
      </c>
      <c r="AG83" s="39">
        <f>SUMIF('Exp Details'!$D$190:$D$192,'Function-Grant'!AG$4,'Exp Details'!$H$190:$H$192)</f>
        <v>0</v>
      </c>
      <c r="AH83" s="39">
        <f>SUMIF('Exp Details'!$D$190:$D$192,'Function-Grant'!AH$4,'Exp Details'!$H$190:$H$192)</f>
        <v>0</v>
      </c>
      <c r="AI83" s="39">
        <f>SUMIF('Exp Details'!$D$190:$D$192,'Function-Grant'!AI$4,'Exp Details'!$H$190:$H$192)</f>
        <v>0</v>
      </c>
      <c r="AJ83" s="39">
        <f>SUMIF('Exp Details'!$D$190:$D$192,'Function-Grant'!AJ$4,'Exp Details'!$H$190:$H$192)</f>
        <v>0</v>
      </c>
      <c r="AK83" s="39">
        <f>SUMIF('Exp Details'!$D$190:$D$192,'Function-Grant'!AK$4,'Exp Details'!$H$190:$H$192)</f>
        <v>0</v>
      </c>
      <c r="AL83" s="39">
        <f>SUMIF('Exp Details'!$D$190:$D$192,'Function-Grant'!AL$4,'Exp Details'!$H$190:$H$192)</f>
        <v>0</v>
      </c>
      <c r="AM83" s="39">
        <f>SUMIF('Exp Details'!$D$190:$D$192,'Function-Grant'!AM$4,'Exp Details'!$H$190:$H$192)</f>
        <v>0</v>
      </c>
      <c r="AN83" s="39">
        <f>SUMIF('Exp Details'!$D$190:$D$192,'Function-Grant'!AN$4,'Exp Details'!$H$190:$H$192)</f>
        <v>0</v>
      </c>
      <c r="AO83" s="41"/>
      <c r="AP83" s="59">
        <f t="shared" si="46"/>
        <v>1780.0000000000002</v>
      </c>
      <c r="AQ83" s="41"/>
      <c r="AR83" s="258">
        <f>AP83-'FY21'!S83</f>
        <v>0</v>
      </c>
    </row>
    <row r="84" spans="3:44" s="37" customFormat="1" ht="12" x14ac:dyDescent="0.2">
      <c r="C84" s="199">
        <v>6522</v>
      </c>
      <c r="D84" s="37" t="s">
        <v>25</v>
      </c>
      <c r="E84" s="370">
        <f>SUMIF('Exp Details'!$D$196:$D$198,'Function-Grant'!E$4,'Exp Details'!$H$196:$H$198)</f>
        <v>0</v>
      </c>
      <c r="F84" s="370">
        <f>SUMIF('Exp Details'!$D$196:$D$198,'Function-Grant'!F$4,'Exp Details'!$H$196:$H$198)</f>
        <v>30167.000000000004</v>
      </c>
      <c r="G84" s="39">
        <f>SUMIF('Exp Details'!$D$196:$D$198,'Function-Grant'!G$4,'Exp Details'!$H$196:$H$198)</f>
        <v>0</v>
      </c>
      <c r="H84" s="39">
        <f>SUMIF('Exp Details'!$D$196:$D$198,'Function-Grant'!H$4,'Exp Details'!$H$196:$H$198)</f>
        <v>0</v>
      </c>
      <c r="I84" s="39">
        <f>SUMIF('Exp Details'!$D$196:$D$198,'Function-Grant'!I$4,'Exp Details'!$H$196:$H$198)</f>
        <v>0</v>
      </c>
      <c r="J84" s="39">
        <f>SUMIF('Exp Details'!$D$196:$D$198,'Function-Grant'!J$4,'Exp Details'!$H$196:$H$198)</f>
        <v>0</v>
      </c>
      <c r="K84" s="39">
        <f>SUMIF('Exp Details'!$D$196:$D$198,'Function-Grant'!K$4,'Exp Details'!$H$196:$H$198)</f>
        <v>0</v>
      </c>
      <c r="L84" s="39">
        <f>SUMIF('Exp Details'!$D$196:$D$198,'Function-Grant'!L$4,'Exp Details'!$H$196:$H$198)</f>
        <v>0</v>
      </c>
      <c r="M84" s="39">
        <f>SUMIF('Exp Details'!$D$196:$D$198,'Function-Grant'!M$4,'Exp Details'!$H$196:$H$198)</f>
        <v>0</v>
      </c>
      <c r="N84" s="39">
        <f>SUMIF('Exp Details'!$D$196:$D$198,'Function-Grant'!N$4,'Exp Details'!$H$196:$H$198)</f>
        <v>0</v>
      </c>
      <c r="O84" s="39">
        <f>SUMIF('Exp Details'!$D$196:$D$198,'Function-Grant'!O$4,'Exp Details'!$H$196:$H$198)</f>
        <v>0</v>
      </c>
      <c r="P84" s="39">
        <f>SUMIF('Exp Details'!$D$196:$D$198,'Function-Grant'!P$4,'Exp Details'!$H$196:$H$198)</f>
        <v>0</v>
      </c>
      <c r="Q84" s="39">
        <f>SUMIF('Exp Details'!$D$196:$D$198,'Function-Grant'!Q$4,'Exp Details'!$H$196:$H$198)</f>
        <v>0</v>
      </c>
      <c r="R84" s="39">
        <f>SUMIF('Exp Details'!$D$196:$D$198,'Function-Grant'!R$4,'Exp Details'!$H$196:$H$198)</f>
        <v>0</v>
      </c>
      <c r="S84" s="39">
        <f>SUMIF('Exp Details'!$D$196:$D$198,'Function-Grant'!S$4,'Exp Details'!$H$196:$H$198)</f>
        <v>0</v>
      </c>
      <c r="T84" s="39">
        <f>SUMIF('Exp Details'!$D$196:$D$198,'Function-Grant'!T$4,'Exp Details'!$H$196:$H$198)</f>
        <v>0</v>
      </c>
      <c r="U84" s="39">
        <f>SUMIF('Exp Details'!$D$196:$D$198,'Function-Grant'!U$4,'Exp Details'!$H$196:$H$198)</f>
        <v>0</v>
      </c>
      <c r="V84" s="39">
        <f>SUMIF('Exp Details'!$D$196:$D$198,'Function-Grant'!V$4,'Exp Details'!$H$196:$H$198)</f>
        <v>0</v>
      </c>
      <c r="W84" s="39">
        <f>SUMIF('Exp Details'!$D$196:$D$198,'Function-Grant'!W$4,'Exp Details'!$H$196:$H$198)</f>
        <v>0</v>
      </c>
      <c r="X84" s="39">
        <f>SUMIF('Exp Details'!$D$196:$D$198,'Function-Grant'!X$4,'Exp Details'!$H$196:$H$198)</f>
        <v>0</v>
      </c>
      <c r="Y84" s="39">
        <f>SUMIF('Exp Details'!$D$196:$D$198,'Function-Grant'!Y$4,'Exp Details'!$H$196:$H$198)</f>
        <v>0</v>
      </c>
      <c r="Z84" s="39">
        <f>SUMIF('Exp Details'!$D$196:$D$198,'Function-Grant'!Z$4,'Exp Details'!$H$196:$H$198)</f>
        <v>0</v>
      </c>
      <c r="AA84" s="39">
        <f>SUMIF('Exp Details'!$D$196:$D$198,'Function-Grant'!AA$4,'Exp Details'!$H$196:$H$198)</f>
        <v>0</v>
      </c>
      <c r="AB84" s="39">
        <f>SUMIF('Exp Details'!$D$196:$D$198,'Function-Grant'!AB$4,'Exp Details'!$H$196:$H$198)</f>
        <v>0</v>
      </c>
      <c r="AC84" s="39">
        <f>SUMIF('Exp Details'!$D$196:$D$198,'Function-Grant'!AC$4,'Exp Details'!$H$196:$H$198)</f>
        <v>0</v>
      </c>
      <c r="AD84" s="39">
        <f>SUMIF('Exp Details'!$D$196:$D$198,'Function-Grant'!AD$4,'Exp Details'!$H$196:$H$198)</f>
        <v>0</v>
      </c>
      <c r="AE84" s="39">
        <f>SUMIF('Exp Details'!$D$196:$D$198,'Function-Grant'!AE$4,'Exp Details'!$H$196:$H$198)</f>
        <v>0</v>
      </c>
      <c r="AF84" s="39">
        <f>SUMIF('Exp Details'!$D$196:$D$198,'Function-Grant'!AF$4,'Exp Details'!$H$196:$H$198)</f>
        <v>0</v>
      </c>
      <c r="AG84" s="39">
        <f>SUMIF('Exp Details'!$D$196:$D$198,'Function-Grant'!AG$4,'Exp Details'!$H$196:$H$198)</f>
        <v>0</v>
      </c>
      <c r="AH84" s="39">
        <f>SUMIF('Exp Details'!$D$196:$D$198,'Function-Grant'!AH$4,'Exp Details'!$H$196:$H$198)</f>
        <v>0</v>
      </c>
      <c r="AI84" s="39">
        <f>SUMIF('Exp Details'!$D$196:$D$198,'Function-Grant'!AI$4,'Exp Details'!$H$196:$H$198)</f>
        <v>0</v>
      </c>
      <c r="AJ84" s="39">
        <f>SUMIF('Exp Details'!$D$196:$D$198,'Function-Grant'!AJ$4,'Exp Details'!$H$196:$H$198)</f>
        <v>0</v>
      </c>
      <c r="AK84" s="39">
        <f>SUMIF('Exp Details'!$D$196:$D$198,'Function-Grant'!AK$4,'Exp Details'!$H$196:$H$198)</f>
        <v>0</v>
      </c>
      <c r="AL84" s="39">
        <f>SUMIF('Exp Details'!$D$196:$D$198,'Function-Grant'!AL$4,'Exp Details'!$H$196:$H$198)</f>
        <v>0</v>
      </c>
      <c r="AM84" s="39">
        <f>SUMIF('Exp Details'!$D$196:$D$198,'Function-Grant'!AM$4,'Exp Details'!$H$196:$H$198)</f>
        <v>0</v>
      </c>
      <c r="AN84" s="39">
        <f>SUMIF('Exp Details'!$D$196:$D$198,'Function-Grant'!AN$4,'Exp Details'!$H$196:$H$198)</f>
        <v>0</v>
      </c>
      <c r="AO84" s="41"/>
      <c r="AP84" s="59">
        <f t="shared" si="46"/>
        <v>30167.000000000004</v>
      </c>
      <c r="AQ84" s="41"/>
      <c r="AR84" s="258">
        <f>AP84-'FY21'!S84</f>
        <v>0</v>
      </c>
    </row>
    <row r="85" spans="3:44" s="37" customFormat="1" ht="12" x14ac:dyDescent="0.2">
      <c r="C85" s="199">
        <v>6523</v>
      </c>
      <c r="D85" s="37" t="s">
        <v>26</v>
      </c>
      <c r="E85" s="370">
        <f>SUMIF('Exp Details'!$D$202:$D$204,'Function-Grant'!E$4,'Exp Details'!$H$202:$H$204)</f>
        <v>0</v>
      </c>
      <c r="F85" s="370">
        <f>SUMIF('Exp Details'!$D$202:$D$204,'Function-Grant'!F$4,'Exp Details'!$H$202:$H$204)</f>
        <v>14395.999999999998</v>
      </c>
      <c r="G85" s="39">
        <f>SUMIF('Exp Details'!$D$202:$D$204,'Function-Grant'!G$4,'Exp Details'!$H$202:$H$204)</f>
        <v>0</v>
      </c>
      <c r="H85" s="39">
        <f>SUMIF('Exp Details'!$D$202:$D$204,'Function-Grant'!H$4,'Exp Details'!$H$202:$H$204)</f>
        <v>0</v>
      </c>
      <c r="I85" s="39">
        <f>SUMIF('Exp Details'!$D$202:$D$204,'Function-Grant'!I$4,'Exp Details'!$H$202:$H$204)</f>
        <v>0</v>
      </c>
      <c r="J85" s="39">
        <f>SUMIF('Exp Details'!$D$202:$D$204,'Function-Grant'!J$4,'Exp Details'!$H$202:$H$204)</f>
        <v>0</v>
      </c>
      <c r="K85" s="39">
        <f>SUMIF('Exp Details'!$D$202:$D$204,'Function-Grant'!K$4,'Exp Details'!$H$202:$H$204)</f>
        <v>0</v>
      </c>
      <c r="L85" s="39">
        <f>SUMIF('Exp Details'!$D$202:$D$204,'Function-Grant'!L$4,'Exp Details'!$H$202:$H$204)</f>
        <v>0</v>
      </c>
      <c r="M85" s="39">
        <f>SUMIF('Exp Details'!$D$202:$D$204,'Function-Grant'!M$4,'Exp Details'!$H$202:$H$204)</f>
        <v>0</v>
      </c>
      <c r="N85" s="39">
        <f>SUMIF('Exp Details'!$D$202:$D$204,'Function-Grant'!N$4,'Exp Details'!$H$202:$H$204)</f>
        <v>0</v>
      </c>
      <c r="O85" s="39">
        <f>SUMIF('Exp Details'!$D$202:$D$204,'Function-Grant'!O$4,'Exp Details'!$H$202:$H$204)</f>
        <v>0</v>
      </c>
      <c r="P85" s="39">
        <f>SUMIF('Exp Details'!$D$202:$D$204,'Function-Grant'!P$4,'Exp Details'!$H$202:$H$204)</f>
        <v>0</v>
      </c>
      <c r="Q85" s="39">
        <f>SUMIF('Exp Details'!$D$202:$D$204,'Function-Grant'!Q$4,'Exp Details'!$H$202:$H$204)</f>
        <v>0</v>
      </c>
      <c r="R85" s="39">
        <f>SUMIF('Exp Details'!$D$202:$D$204,'Function-Grant'!R$4,'Exp Details'!$H$202:$H$204)</f>
        <v>0</v>
      </c>
      <c r="S85" s="39">
        <f>SUMIF('Exp Details'!$D$202:$D$204,'Function-Grant'!S$4,'Exp Details'!$H$202:$H$204)</f>
        <v>0</v>
      </c>
      <c r="T85" s="39">
        <f>SUMIF('Exp Details'!$D$202:$D$204,'Function-Grant'!T$4,'Exp Details'!$H$202:$H$204)</f>
        <v>0</v>
      </c>
      <c r="U85" s="39">
        <f>SUMIF('Exp Details'!$D$202:$D$204,'Function-Grant'!U$4,'Exp Details'!$H$202:$H$204)</f>
        <v>0</v>
      </c>
      <c r="V85" s="39">
        <f>SUMIF('Exp Details'!$D$202:$D$204,'Function-Grant'!V$4,'Exp Details'!$H$202:$H$204)</f>
        <v>0</v>
      </c>
      <c r="W85" s="39">
        <f>SUMIF('Exp Details'!$D$202:$D$204,'Function-Grant'!W$4,'Exp Details'!$H$202:$H$204)</f>
        <v>0</v>
      </c>
      <c r="X85" s="39">
        <f>SUMIF('Exp Details'!$D$202:$D$204,'Function-Grant'!X$4,'Exp Details'!$H$202:$H$204)</f>
        <v>0</v>
      </c>
      <c r="Y85" s="39">
        <f>SUMIF('Exp Details'!$D$202:$D$204,'Function-Grant'!Y$4,'Exp Details'!$H$202:$H$204)</f>
        <v>0</v>
      </c>
      <c r="Z85" s="39">
        <f>SUMIF('Exp Details'!$D$202:$D$204,'Function-Grant'!Z$4,'Exp Details'!$H$202:$H$204)</f>
        <v>0</v>
      </c>
      <c r="AA85" s="39">
        <f>SUMIF('Exp Details'!$D$202:$D$204,'Function-Grant'!AA$4,'Exp Details'!$H$202:$H$204)</f>
        <v>0</v>
      </c>
      <c r="AB85" s="39">
        <f>SUMIF('Exp Details'!$D$202:$D$204,'Function-Grant'!AB$4,'Exp Details'!$H$202:$H$204)</f>
        <v>0</v>
      </c>
      <c r="AC85" s="39">
        <f>SUMIF('Exp Details'!$D$202:$D$204,'Function-Grant'!AC$4,'Exp Details'!$H$202:$H$204)</f>
        <v>0</v>
      </c>
      <c r="AD85" s="39">
        <f>SUMIF('Exp Details'!$D$202:$D$204,'Function-Grant'!AD$4,'Exp Details'!$H$202:$H$204)</f>
        <v>0</v>
      </c>
      <c r="AE85" s="39">
        <f>SUMIF('Exp Details'!$D$202:$D$204,'Function-Grant'!AE$4,'Exp Details'!$H$202:$H$204)</f>
        <v>0</v>
      </c>
      <c r="AF85" s="39">
        <f>SUMIF('Exp Details'!$D$202:$D$204,'Function-Grant'!AF$4,'Exp Details'!$H$202:$H$204)</f>
        <v>0</v>
      </c>
      <c r="AG85" s="39">
        <f>SUMIF('Exp Details'!$D$202:$D$204,'Function-Grant'!AG$4,'Exp Details'!$H$202:$H$204)</f>
        <v>0</v>
      </c>
      <c r="AH85" s="39">
        <f>SUMIF('Exp Details'!$D$202:$D$204,'Function-Grant'!AH$4,'Exp Details'!$H$202:$H$204)</f>
        <v>0</v>
      </c>
      <c r="AI85" s="39">
        <f>SUMIF('Exp Details'!$D$202:$D$204,'Function-Grant'!AI$4,'Exp Details'!$H$202:$H$204)</f>
        <v>0</v>
      </c>
      <c r="AJ85" s="39">
        <f>SUMIF('Exp Details'!$D$202:$D$204,'Function-Grant'!AJ$4,'Exp Details'!$H$202:$H$204)</f>
        <v>0</v>
      </c>
      <c r="AK85" s="39">
        <f>SUMIF('Exp Details'!$D$202:$D$204,'Function-Grant'!AK$4,'Exp Details'!$H$202:$H$204)</f>
        <v>0</v>
      </c>
      <c r="AL85" s="39">
        <f>SUMIF('Exp Details'!$D$202:$D$204,'Function-Grant'!AL$4,'Exp Details'!$H$202:$H$204)</f>
        <v>0</v>
      </c>
      <c r="AM85" s="39">
        <f>SUMIF('Exp Details'!$D$202:$D$204,'Function-Grant'!AM$4,'Exp Details'!$H$202:$H$204)</f>
        <v>0</v>
      </c>
      <c r="AN85" s="39">
        <f>SUMIF('Exp Details'!$D$202:$D$204,'Function-Grant'!AN$4,'Exp Details'!$H$202:$H$204)</f>
        <v>0</v>
      </c>
      <c r="AO85" s="41"/>
      <c r="AP85" s="59">
        <f t="shared" si="46"/>
        <v>14395.999999999998</v>
      </c>
      <c r="AQ85" s="41"/>
      <c r="AR85" s="258">
        <f>AP85-'FY21'!S85</f>
        <v>0</v>
      </c>
    </row>
    <row r="86" spans="3:44" s="37" customFormat="1" ht="12" x14ac:dyDescent="0.2">
      <c r="C86" s="199">
        <v>6531</v>
      </c>
      <c r="D86" s="37" t="s">
        <v>27</v>
      </c>
      <c r="E86" s="39">
        <f>SUMIF('Exp Details'!$D$208:$D$212,'Function-Grant'!E$4,'Exp Details'!$H$208:$H$212)</f>
        <v>0</v>
      </c>
      <c r="F86" s="39">
        <f>SUMIF('Exp Details'!$D$208:$D$212,'Function-Grant'!F$4,'Exp Details'!$H$208:$H$212)</f>
        <v>0</v>
      </c>
      <c r="G86" s="39">
        <f>SUMIF('Exp Details'!$D$208:$D$212,'Function-Grant'!G$4,'Exp Details'!$H$208:$H$212)</f>
        <v>0</v>
      </c>
      <c r="H86" s="39">
        <f>SUMIF('Exp Details'!$D$208:$D$212,'Function-Grant'!H$4,'Exp Details'!$H$208:$H$212)</f>
        <v>0</v>
      </c>
      <c r="I86" s="39">
        <f>SUMIF('Exp Details'!$D$208:$D$212,'Function-Grant'!I$4,'Exp Details'!$H$208:$H$212)</f>
        <v>0</v>
      </c>
      <c r="J86" s="39">
        <f>SUMIF('Exp Details'!$D$208:$D$212,'Function-Grant'!J$4,'Exp Details'!$H$208:$H$212)</f>
        <v>0</v>
      </c>
      <c r="K86" s="39">
        <f>SUMIF('Exp Details'!$D$208:$D$212,'Function-Grant'!K$4,'Exp Details'!$H$208:$H$212)</f>
        <v>0</v>
      </c>
      <c r="L86" s="39">
        <f>SUMIF('Exp Details'!$D$208:$D$212,'Function-Grant'!L$4,'Exp Details'!$H$208:$H$212)</f>
        <v>0</v>
      </c>
      <c r="M86" s="39">
        <f>SUMIF('Exp Details'!$D$208:$D$212,'Function-Grant'!M$4,'Exp Details'!$H$208:$H$212)</f>
        <v>0</v>
      </c>
      <c r="N86" s="39">
        <f>SUMIF('Exp Details'!$D$208:$D$212,'Function-Grant'!N$4,'Exp Details'!$H$208:$H$212)</f>
        <v>0</v>
      </c>
      <c r="O86" s="370">
        <f>SUMIF('Exp Details'!$D$208:$D$212,'Function-Grant'!O$4,'Exp Details'!$H$208:$H$212)</f>
        <v>5524</v>
      </c>
      <c r="P86" s="39">
        <f>SUMIF('Exp Details'!$D$208:$D$212,'Function-Grant'!P$4,'Exp Details'!$H$208:$H$212)</f>
        <v>0</v>
      </c>
      <c r="Q86" s="39">
        <f>SUMIF('Exp Details'!$D$208:$D$212,'Function-Grant'!Q$4,'Exp Details'!$H$208:$H$212)</f>
        <v>0</v>
      </c>
      <c r="R86" s="39">
        <f>SUMIF('Exp Details'!$D$208:$D$212,'Function-Grant'!R$4,'Exp Details'!$H$208:$H$212)</f>
        <v>0</v>
      </c>
      <c r="S86" s="39">
        <f>SUMIF('Exp Details'!$D$208:$D$212,'Function-Grant'!S$4,'Exp Details'!$H$208:$H$212)</f>
        <v>0</v>
      </c>
      <c r="T86" s="39">
        <f>SUMIF('Exp Details'!$D$208:$D$212,'Function-Grant'!T$4,'Exp Details'!$H$208:$H$212)</f>
        <v>0</v>
      </c>
      <c r="U86" s="39">
        <f>SUMIF('Exp Details'!$D$208:$D$212,'Function-Grant'!U$4,'Exp Details'!$H$208:$H$212)</f>
        <v>0</v>
      </c>
      <c r="V86" s="39">
        <f>SUMIF('Exp Details'!$D$208:$D$212,'Function-Grant'!V$4,'Exp Details'!$H$208:$H$212)</f>
        <v>0</v>
      </c>
      <c r="W86" s="39">
        <f>SUMIF('Exp Details'!$D$208:$D$212,'Function-Grant'!W$4,'Exp Details'!$H$208:$H$212)</f>
        <v>0</v>
      </c>
      <c r="X86" s="39">
        <f>SUMIF('Exp Details'!$D$208:$D$212,'Function-Grant'!X$4,'Exp Details'!$H$208:$H$212)</f>
        <v>0</v>
      </c>
      <c r="Y86" s="39">
        <f>SUMIF('Exp Details'!$D$208:$D$212,'Function-Grant'!Y$4,'Exp Details'!$H$208:$H$212)</f>
        <v>0</v>
      </c>
      <c r="Z86" s="39">
        <f>SUMIF('Exp Details'!$D$208:$D$212,'Function-Grant'!Z$4,'Exp Details'!$H$208:$H$212)</f>
        <v>0</v>
      </c>
      <c r="AA86" s="39">
        <f>SUMIF('Exp Details'!$D$208:$D$212,'Function-Grant'!AA$4,'Exp Details'!$H$208:$H$212)</f>
        <v>0</v>
      </c>
      <c r="AB86" s="39">
        <f>SUMIF('Exp Details'!$D$208:$D$212,'Function-Grant'!AB$4,'Exp Details'!$H$208:$H$212)</f>
        <v>0</v>
      </c>
      <c r="AC86" s="39">
        <f>SUMIF('Exp Details'!$D$208:$D$212,'Function-Grant'!AC$4,'Exp Details'!$H$208:$H$212)</f>
        <v>0</v>
      </c>
      <c r="AD86" s="39">
        <f>SUMIF('Exp Details'!$D$208:$D$212,'Function-Grant'!AD$4,'Exp Details'!$H$208:$H$212)</f>
        <v>0</v>
      </c>
      <c r="AE86" s="39">
        <f>SUMIF('Exp Details'!$D$208:$D$212,'Function-Grant'!AE$4,'Exp Details'!$H$208:$H$212)</f>
        <v>0</v>
      </c>
      <c r="AF86" s="39">
        <f>SUMIF('Exp Details'!$D$208:$D$212,'Function-Grant'!AF$4,'Exp Details'!$H$208:$H$212)</f>
        <v>0</v>
      </c>
      <c r="AG86" s="39">
        <f>SUMIF('Exp Details'!$D$208:$D$212,'Function-Grant'!AG$4,'Exp Details'!$H$208:$H$212)</f>
        <v>0</v>
      </c>
      <c r="AH86" s="39">
        <f>SUMIF('Exp Details'!$D$208:$D$212,'Function-Grant'!AH$4,'Exp Details'!$H$208:$H$212)</f>
        <v>0</v>
      </c>
      <c r="AI86" s="39">
        <f>SUMIF('Exp Details'!$D$208:$D$212,'Function-Grant'!AI$4,'Exp Details'!$H$208:$H$212)</f>
        <v>0</v>
      </c>
      <c r="AJ86" s="39">
        <f>SUMIF('Exp Details'!$D$208:$D$212,'Function-Grant'!AJ$4,'Exp Details'!$H$208:$H$212)</f>
        <v>0</v>
      </c>
      <c r="AK86" s="39">
        <f>SUMIF('Exp Details'!$D$208:$D$212,'Function-Grant'!AK$4,'Exp Details'!$H$208:$H$212)</f>
        <v>0</v>
      </c>
      <c r="AL86" s="39">
        <f>SUMIF('Exp Details'!$D$208:$D$212,'Function-Grant'!AL$4,'Exp Details'!$H$208:$H$212)</f>
        <v>0</v>
      </c>
      <c r="AM86" s="39">
        <f>SUMIF('Exp Details'!$D$208:$D$212,'Function-Grant'!AM$4,'Exp Details'!$H$208:$H$212)</f>
        <v>0</v>
      </c>
      <c r="AN86" s="39">
        <f>SUMIF('Exp Details'!$D$208:$D$212,'Function-Grant'!AN$4,'Exp Details'!$H$208:$H$212)</f>
        <v>0</v>
      </c>
      <c r="AO86" s="41"/>
      <c r="AP86" s="59">
        <f t="shared" si="46"/>
        <v>5524</v>
      </c>
      <c r="AQ86" s="41"/>
      <c r="AR86" s="258">
        <f>AP86-'FY21'!S86</f>
        <v>0</v>
      </c>
    </row>
    <row r="87" spans="3:44" s="37" customFormat="1" ht="12" x14ac:dyDescent="0.2">
      <c r="C87" s="199">
        <v>6534</v>
      </c>
      <c r="D87" s="37" t="s">
        <v>28</v>
      </c>
      <c r="E87" s="39">
        <f>SUMIF('Exp Details'!$D$216:$D$218,'Function-Grant'!E$4,'Exp Details'!$H$216:$H$218)</f>
        <v>0</v>
      </c>
      <c r="F87" s="39">
        <f>SUMIF('Exp Details'!$D$216:$D$218,'Function-Grant'!F$4,'Exp Details'!$H$216:$H$218)</f>
        <v>0</v>
      </c>
      <c r="G87" s="39">
        <f>SUMIF('Exp Details'!$D$216:$D$218,'Function-Grant'!G$4,'Exp Details'!$H$216:$H$218)</f>
        <v>0</v>
      </c>
      <c r="H87" s="39">
        <f>SUMIF('Exp Details'!$D$216:$D$218,'Function-Grant'!H$4,'Exp Details'!$H$216:$H$218)</f>
        <v>0</v>
      </c>
      <c r="I87" s="39">
        <f>SUMIF('Exp Details'!$D$216:$D$218,'Function-Grant'!I$4,'Exp Details'!$H$216:$H$218)</f>
        <v>0</v>
      </c>
      <c r="J87" s="39">
        <f>SUMIF('Exp Details'!$D$216:$D$218,'Function-Grant'!J$4,'Exp Details'!$H$216:$H$218)</f>
        <v>0</v>
      </c>
      <c r="K87" s="39">
        <f>SUMIF('Exp Details'!$D$216:$D$218,'Function-Grant'!K$4,'Exp Details'!$H$216:$H$218)</f>
        <v>0</v>
      </c>
      <c r="L87" s="39">
        <f>SUMIF('Exp Details'!$D$216:$D$218,'Function-Grant'!L$4,'Exp Details'!$H$216:$H$218)</f>
        <v>0</v>
      </c>
      <c r="M87" s="370">
        <f>SUMIF('Exp Details'!$D$216:$D$218,'Function-Grant'!M$4,'Exp Details'!$H$216:$H$218)</f>
        <v>3240</v>
      </c>
      <c r="N87" s="39">
        <f>SUMIF('Exp Details'!$D$216:$D$218,'Function-Grant'!N$4,'Exp Details'!$H$216:$H$218)</f>
        <v>0</v>
      </c>
      <c r="O87" s="39">
        <f>SUMIF('Exp Details'!$D$216:$D$218,'Function-Grant'!O$4,'Exp Details'!$H$216:$H$218)</f>
        <v>0</v>
      </c>
      <c r="P87" s="39">
        <f>SUMIF('Exp Details'!$D$216:$D$218,'Function-Grant'!P$4,'Exp Details'!$H$216:$H$218)</f>
        <v>0</v>
      </c>
      <c r="Q87" s="39">
        <f>SUMIF('Exp Details'!$D$216:$D$218,'Function-Grant'!Q$4,'Exp Details'!$H$216:$H$218)</f>
        <v>0</v>
      </c>
      <c r="R87" s="39">
        <f>SUMIF('Exp Details'!$D$216:$D$218,'Function-Grant'!R$4,'Exp Details'!$H$216:$H$218)</f>
        <v>0</v>
      </c>
      <c r="S87" s="39">
        <f>SUMIF('Exp Details'!$D$216:$D$218,'Function-Grant'!S$4,'Exp Details'!$H$216:$H$218)</f>
        <v>0</v>
      </c>
      <c r="T87" s="39">
        <f>SUMIF('Exp Details'!$D$216:$D$218,'Function-Grant'!T$4,'Exp Details'!$H$216:$H$218)</f>
        <v>0</v>
      </c>
      <c r="U87" s="39">
        <f>SUMIF('Exp Details'!$D$216:$D$218,'Function-Grant'!U$4,'Exp Details'!$H$216:$H$218)</f>
        <v>0</v>
      </c>
      <c r="V87" s="39">
        <f>SUMIF('Exp Details'!$D$216:$D$218,'Function-Grant'!V$4,'Exp Details'!$H$216:$H$218)</f>
        <v>0</v>
      </c>
      <c r="W87" s="39">
        <f>SUMIF('Exp Details'!$D$216:$D$218,'Function-Grant'!W$4,'Exp Details'!$H$216:$H$218)</f>
        <v>0</v>
      </c>
      <c r="X87" s="39">
        <f>SUMIF('Exp Details'!$D$216:$D$218,'Function-Grant'!X$4,'Exp Details'!$H$216:$H$218)</f>
        <v>0</v>
      </c>
      <c r="Y87" s="39">
        <f>SUMIF('Exp Details'!$D$216:$D$218,'Function-Grant'!Y$4,'Exp Details'!$H$216:$H$218)</f>
        <v>0</v>
      </c>
      <c r="Z87" s="39">
        <f>SUMIF('Exp Details'!$D$216:$D$218,'Function-Grant'!Z$4,'Exp Details'!$H$216:$H$218)</f>
        <v>0</v>
      </c>
      <c r="AA87" s="39">
        <f>SUMIF('Exp Details'!$D$216:$D$218,'Function-Grant'!AA$4,'Exp Details'!$H$216:$H$218)</f>
        <v>0</v>
      </c>
      <c r="AB87" s="39">
        <f>SUMIF('Exp Details'!$D$216:$D$218,'Function-Grant'!AB$4,'Exp Details'!$H$216:$H$218)</f>
        <v>0</v>
      </c>
      <c r="AC87" s="39">
        <f>SUMIF('Exp Details'!$D$216:$D$218,'Function-Grant'!AC$4,'Exp Details'!$H$216:$H$218)</f>
        <v>0</v>
      </c>
      <c r="AD87" s="39">
        <f>SUMIF('Exp Details'!$D$216:$D$218,'Function-Grant'!AD$4,'Exp Details'!$H$216:$H$218)</f>
        <v>0</v>
      </c>
      <c r="AE87" s="39">
        <f>SUMIF('Exp Details'!$D$216:$D$218,'Function-Grant'!AE$4,'Exp Details'!$H$216:$H$218)</f>
        <v>0</v>
      </c>
      <c r="AF87" s="39">
        <f>SUMIF('Exp Details'!$D$216:$D$218,'Function-Grant'!AF$4,'Exp Details'!$H$216:$H$218)</f>
        <v>0</v>
      </c>
      <c r="AG87" s="39">
        <f>SUMIF('Exp Details'!$D$216:$D$218,'Function-Grant'!AG$4,'Exp Details'!$H$216:$H$218)</f>
        <v>0</v>
      </c>
      <c r="AH87" s="39">
        <f>SUMIF('Exp Details'!$D$216:$D$218,'Function-Grant'!AH$4,'Exp Details'!$H$216:$H$218)</f>
        <v>0</v>
      </c>
      <c r="AI87" s="39">
        <f>SUMIF('Exp Details'!$D$216:$D$218,'Function-Grant'!AI$4,'Exp Details'!$H$216:$H$218)</f>
        <v>0</v>
      </c>
      <c r="AJ87" s="39">
        <f>SUMIF('Exp Details'!$D$216:$D$218,'Function-Grant'!AJ$4,'Exp Details'!$H$216:$H$218)</f>
        <v>0</v>
      </c>
      <c r="AK87" s="39">
        <f>SUMIF('Exp Details'!$D$216:$D$218,'Function-Grant'!AK$4,'Exp Details'!$H$216:$H$218)</f>
        <v>0</v>
      </c>
      <c r="AL87" s="39">
        <f>SUMIF('Exp Details'!$D$216:$D$218,'Function-Grant'!AL$4,'Exp Details'!$H$216:$H$218)</f>
        <v>0</v>
      </c>
      <c r="AM87" s="39">
        <f>SUMIF('Exp Details'!$D$216:$D$218,'Function-Grant'!AM$4,'Exp Details'!$H$216:$H$218)</f>
        <v>0</v>
      </c>
      <c r="AN87" s="39">
        <f>SUMIF('Exp Details'!$D$216:$D$218,'Function-Grant'!AN$4,'Exp Details'!$H$216:$H$218)</f>
        <v>0</v>
      </c>
      <c r="AO87" s="41"/>
      <c r="AP87" s="59">
        <f t="shared" si="46"/>
        <v>3240</v>
      </c>
      <c r="AQ87" s="41"/>
      <c r="AR87" s="258">
        <f>AP87-'FY21'!S87</f>
        <v>0</v>
      </c>
    </row>
    <row r="88" spans="3:44" s="37" customFormat="1" ht="12" x14ac:dyDescent="0.2">
      <c r="C88" s="199">
        <v>6535</v>
      </c>
      <c r="D88" s="37" t="s">
        <v>235</v>
      </c>
      <c r="E88" s="39">
        <f>SUMIF('Exp Details'!$D$222:$D$240,'Function-Grant'!E$4,'Exp Details'!$H$222:$H$240)</f>
        <v>0</v>
      </c>
      <c r="F88" s="39">
        <f>SUMIF('Exp Details'!$D$222:$D$240,'Function-Grant'!F$4,'Exp Details'!$H$222:$H$240)</f>
        <v>0</v>
      </c>
      <c r="G88" s="39">
        <f>SUMIF('Exp Details'!$D$222:$D$240,'Function-Grant'!G$4,'Exp Details'!$H$222:$H$240)</f>
        <v>0</v>
      </c>
      <c r="H88" s="39">
        <f>SUMIF('Exp Details'!$D$222:$D$240,'Function-Grant'!H$4,'Exp Details'!$H$222:$H$240)</f>
        <v>0</v>
      </c>
      <c r="I88" s="39">
        <f>SUMIF('Exp Details'!$D$222:$D$240,'Function-Grant'!I$4,'Exp Details'!$H$222:$H$240)</f>
        <v>0</v>
      </c>
      <c r="J88" s="39">
        <f>SUMIF('Exp Details'!$D$222:$D$240,'Function-Grant'!J$4,'Exp Details'!$H$222:$H$240)</f>
        <v>0</v>
      </c>
      <c r="K88" s="39">
        <f>SUMIF('Exp Details'!$D$222:$D$240,'Function-Grant'!K$4,'Exp Details'!$H$222:$H$240)</f>
        <v>0</v>
      </c>
      <c r="L88" s="39">
        <f>SUMIF('Exp Details'!$D$222:$D$240,'Function-Grant'!L$4,'Exp Details'!$H$222:$H$240)</f>
        <v>0</v>
      </c>
      <c r="M88" s="39">
        <f>SUMIF('Exp Details'!$D$222:$D$240,'Function-Grant'!M$4,'Exp Details'!$H$222:$H$240)</f>
        <v>0</v>
      </c>
      <c r="N88" s="39">
        <f>SUMIF('Exp Details'!$D$222:$D$240,'Function-Grant'!N$4,'Exp Details'!$H$222:$H$240)</f>
        <v>0</v>
      </c>
      <c r="O88" s="370">
        <f>SUMIF('Exp Details'!$D$222:$D$240,'Function-Grant'!O$4,'Exp Details'!$H$222:$H$240)</f>
        <v>52972.56</v>
      </c>
      <c r="P88" s="39">
        <f>SUMIF('Exp Details'!$D$222:$D$240,'Function-Grant'!P$4,'Exp Details'!$H$222:$H$240)</f>
        <v>0</v>
      </c>
      <c r="Q88" s="39">
        <f>SUMIF('Exp Details'!$D$222:$D$240,'Function-Grant'!Q$4,'Exp Details'!$H$222:$H$240)</f>
        <v>0</v>
      </c>
      <c r="R88" s="39">
        <f>SUMIF('Exp Details'!$D$222:$D$240,'Function-Grant'!R$4,'Exp Details'!$H$222:$H$240)</f>
        <v>0</v>
      </c>
      <c r="S88" s="39">
        <f>SUMIF('Exp Details'!$D$222:$D$240,'Function-Grant'!S$4,'Exp Details'!$H$222:$H$240)</f>
        <v>0</v>
      </c>
      <c r="T88" s="39">
        <f>SUMIF('Exp Details'!$D$222:$D$240,'Function-Grant'!T$4,'Exp Details'!$H$222:$H$240)</f>
        <v>0</v>
      </c>
      <c r="U88" s="39">
        <f>SUMIF('Exp Details'!$D$222:$D$240,'Function-Grant'!U$4,'Exp Details'!$H$222:$H$240)</f>
        <v>0</v>
      </c>
      <c r="V88" s="39">
        <f>SUMIF('Exp Details'!$D$222:$D$240,'Function-Grant'!V$4,'Exp Details'!$H$222:$H$240)</f>
        <v>0</v>
      </c>
      <c r="W88" s="39">
        <f>SUMIF('Exp Details'!$D$222:$D$240,'Function-Grant'!W$4,'Exp Details'!$H$222:$H$240)</f>
        <v>0</v>
      </c>
      <c r="X88" s="39">
        <f>SUMIF('Exp Details'!$D$222:$D$240,'Function-Grant'!X$4,'Exp Details'!$H$222:$H$240)</f>
        <v>0</v>
      </c>
      <c r="Y88" s="39">
        <f>SUMIF('Exp Details'!$D$222:$D$240,'Function-Grant'!Y$4,'Exp Details'!$H$222:$H$240)</f>
        <v>0</v>
      </c>
      <c r="Z88" s="39">
        <f>SUMIF('Exp Details'!$D$222:$D$240,'Function-Grant'!Z$4,'Exp Details'!$H$222:$H$240)</f>
        <v>0</v>
      </c>
      <c r="AA88" s="39">
        <f>SUMIF('Exp Details'!$D$222:$D$240,'Function-Grant'!AA$4,'Exp Details'!$H$222:$H$240)</f>
        <v>0</v>
      </c>
      <c r="AB88" s="39">
        <f>SUMIF('Exp Details'!$D$222:$D$240,'Function-Grant'!AB$4,'Exp Details'!$H$222:$H$240)</f>
        <v>0</v>
      </c>
      <c r="AC88" s="39">
        <f>SUMIF('Exp Details'!$D$222:$D$240,'Function-Grant'!AC$4,'Exp Details'!$H$222:$H$240)</f>
        <v>0</v>
      </c>
      <c r="AD88" s="39">
        <f>SUMIF('Exp Details'!$D$222:$D$240,'Function-Grant'!AD$4,'Exp Details'!$H$222:$H$240)</f>
        <v>0</v>
      </c>
      <c r="AE88" s="39">
        <f>SUMIF('Exp Details'!$D$222:$D$240,'Function-Grant'!AE$4,'Exp Details'!$H$222:$H$240)</f>
        <v>0</v>
      </c>
      <c r="AF88" s="39">
        <f>SUMIF('Exp Details'!$D$222:$D$240,'Function-Grant'!AF$4,'Exp Details'!$H$222:$H$240)</f>
        <v>0</v>
      </c>
      <c r="AG88" s="39">
        <f>SUMIF('Exp Details'!$D$222:$D$240,'Function-Grant'!AG$4,'Exp Details'!$H$222:$H$240)</f>
        <v>0</v>
      </c>
      <c r="AH88" s="39">
        <f>SUMIF('Exp Details'!$D$222:$D$240,'Function-Grant'!AH$4,'Exp Details'!$H$222:$H$240)</f>
        <v>0</v>
      </c>
      <c r="AI88" s="39">
        <f>SUMIF('Exp Details'!$D$222:$D$240,'Function-Grant'!AI$4,'Exp Details'!$H$222:$H$240)</f>
        <v>0</v>
      </c>
      <c r="AJ88" s="39">
        <f>SUMIF('Exp Details'!$D$222:$D$240,'Function-Grant'!AJ$4,'Exp Details'!$H$222:$H$240)</f>
        <v>0</v>
      </c>
      <c r="AK88" s="39">
        <f>SUMIF('Exp Details'!$D$222:$D$240,'Function-Grant'!AK$4,'Exp Details'!$H$222:$H$240)</f>
        <v>0</v>
      </c>
      <c r="AL88" s="39">
        <f>SUMIF('Exp Details'!$D$222:$D$240,'Function-Grant'!AL$4,'Exp Details'!$H$222:$H$240)</f>
        <v>0</v>
      </c>
      <c r="AM88" s="39">
        <f>SUMIF('Exp Details'!$D$222:$D$240,'Function-Grant'!AM$4,'Exp Details'!$H$222:$H$240)</f>
        <v>0</v>
      </c>
      <c r="AN88" s="39">
        <f>SUMIF('Exp Details'!$D$222:$D$240,'Function-Grant'!AN$4,'Exp Details'!$H$222:$H$240)</f>
        <v>0</v>
      </c>
      <c r="AO88" s="41"/>
      <c r="AP88" s="59">
        <f t="shared" si="46"/>
        <v>52972.56</v>
      </c>
      <c r="AQ88" s="41"/>
      <c r="AR88" s="258">
        <f>AP88-'FY21'!S88</f>
        <v>0</v>
      </c>
    </row>
    <row r="89" spans="3:44" s="37" customFormat="1" ht="12" x14ac:dyDescent="0.2">
      <c r="C89" s="199">
        <v>6540</v>
      </c>
      <c r="D89" s="37" t="s">
        <v>30</v>
      </c>
      <c r="E89" s="39">
        <f>SUMIF('Exp Details'!$D$244:$D$260,'Function-Grant'!E$4,'Exp Details'!$H$244:$H$260)</f>
        <v>0</v>
      </c>
      <c r="F89" s="39">
        <f>SUMIF('Exp Details'!$D$244:$D$260,'Function-Grant'!F$4,'Exp Details'!$H$244:$H$260)</f>
        <v>0</v>
      </c>
      <c r="G89" s="39">
        <f>SUMIF('Exp Details'!$D$244:$D$260,'Function-Grant'!G$4,'Exp Details'!$H$244:$H$260)</f>
        <v>0</v>
      </c>
      <c r="H89" s="39">
        <f>SUMIF('Exp Details'!$D$244:$D$260,'Function-Grant'!H$4,'Exp Details'!$H$244:$H$260)</f>
        <v>0</v>
      </c>
      <c r="I89" s="39">
        <f>SUMIF('Exp Details'!$D$244:$D$260,'Function-Grant'!I$4,'Exp Details'!$H$244:$H$260)</f>
        <v>0</v>
      </c>
      <c r="J89" s="39">
        <f>SUMIF('Exp Details'!$D$244:$D$260,'Function-Grant'!J$4,'Exp Details'!$H$244:$H$260)</f>
        <v>0</v>
      </c>
      <c r="K89" s="39">
        <f>SUMIF('Exp Details'!$D$244:$D$260,'Function-Grant'!K$4,'Exp Details'!$H$244:$H$260)</f>
        <v>0</v>
      </c>
      <c r="L89" s="39">
        <f>SUMIF('Exp Details'!$D$244:$D$260,'Function-Grant'!L$4,'Exp Details'!$H$244:$H$260)</f>
        <v>0</v>
      </c>
      <c r="M89" s="39">
        <f>SUMIF('Exp Details'!$D$244:$D$260,'Function-Grant'!M$4,'Exp Details'!$H$244:$H$260)</f>
        <v>0</v>
      </c>
      <c r="N89" s="39">
        <f>SUMIF('Exp Details'!$D$244:$D$260,'Function-Grant'!N$4,'Exp Details'!$H$244:$H$260)</f>
        <v>0</v>
      </c>
      <c r="O89" s="39">
        <f>SUMIF('Exp Details'!$D$244:$D$260,'Function-Grant'!O$4,'Exp Details'!$H$244:$H$260)</f>
        <v>0</v>
      </c>
      <c r="P89" s="39">
        <f>SUMIF('Exp Details'!$D$244:$D$260,'Function-Grant'!P$4,'Exp Details'!$H$244:$H$260)</f>
        <v>0</v>
      </c>
      <c r="Q89" s="370">
        <f>SUMIF('Exp Details'!$D$244:$D$260,'Function-Grant'!Q$4,'Exp Details'!$H$244:$H$260)</f>
        <v>47958.71</v>
      </c>
      <c r="R89" s="370">
        <f>SUMIF('Exp Details'!$D$244:$D$260,'Function-Grant'!R$4,'Exp Details'!$H$244:$H$260)</f>
        <v>12500</v>
      </c>
      <c r="S89" s="39">
        <f>SUMIF('Exp Details'!$D$244:$D$260,'Function-Grant'!S$4,'Exp Details'!$H$244:$H$260)</f>
        <v>0</v>
      </c>
      <c r="T89" s="39">
        <f>SUMIF('Exp Details'!$D$244:$D$260,'Function-Grant'!T$4,'Exp Details'!$H$244:$H$260)</f>
        <v>0</v>
      </c>
      <c r="U89" s="39">
        <f>SUMIF('Exp Details'!$D$244:$D$260,'Function-Grant'!U$4,'Exp Details'!$H$244:$H$260)</f>
        <v>0</v>
      </c>
      <c r="V89" s="39">
        <f>SUMIF('Exp Details'!$D$244:$D$260,'Function-Grant'!V$4,'Exp Details'!$H$244:$H$260)</f>
        <v>0</v>
      </c>
      <c r="W89" s="39">
        <f>SUMIF('Exp Details'!$D$244:$D$260,'Function-Grant'!W$4,'Exp Details'!$H$244:$H$260)</f>
        <v>0</v>
      </c>
      <c r="X89" s="39">
        <f>SUMIF('Exp Details'!$D$244:$D$260,'Function-Grant'!X$4,'Exp Details'!$H$244:$H$260)</f>
        <v>0</v>
      </c>
      <c r="Y89" s="39">
        <f>SUMIF('Exp Details'!$D$244:$D$260,'Function-Grant'!Y$4,'Exp Details'!$H$244:$H$260)</f>
        <v>0</v>
      </c>
      <c r="Z89" s="39">
        <f>SUMIF('Exp Details'!$D$244:$D$260,'Function-Grant'!Z$4,'Exp Details'!$H$244:$H$260)</f>
        <v>0</v>
      </c>
      <c r="AA89" s="39">
        <f>SUMIF('Exp Details'!$D$244:$D$260,'Function-Grant'!AA$4,'Exp Details'!$H$244:$H$260)</f>
        <v>0</v>
      </c>
      <c r="AB89" s="39">
        <f>SUMIF('Exp Details'!$D$244:$D$260,'Function-Grant'!AB$4,'Exp Details'!$H$244:$H$260)</f>
        <v>0</v>
      </c>
      <c r="AC89" s="39">
        <f>SUMIF('Exp Details'!$D$244:$D$260,'Function-Grant'!AC$4,'Exp Details'!$H$244:$H$260)</f>
        <v>0</v>
      </c>
      <c r="AD89" s="39">
        <f>SUMIF('Exp Details'!$D$244:$D$260,'Function-Grant'!AD$4,'Exp Details'!$H$244:$H$260)</f>
        <v>0</v>
      </c>
      <c r="AE89" s="39">
        <f>SUMIF('Exp Details'!$D$244:$D$260,'Function-Grant'!AE$4,'Exp Details'!$H$244:$H$260)</f>
        <v>0</v>
      </c>
      <c r="AF89" s="39">
        <f>SUMIF('Exp Details'!$D$244:$D$260,'Function-Grant'!AF$4,'Exp Details'!$H$244:$H$260)</f>
        <v>0</v>
      </c>
      <c r="AG89" s="39">
        <f>SUMIF('Exp Details'!$D$244:$D$260,'Function-Grant'!AG$4,'Exp Details'!$H$244:$H$260)</f>
        <v>0</v>
      </c>
      <c r="AH89" s="39">
        <f>SUMIF('Exp Details'!$D$244:$D$260,'Function-Grant'!AH$4,'Exp Details'!$H$244:$H$260)</f>
        <v>0</v>
      </c>
      <c r="AI89" s="39">
        <f>SUMIF('Exp Details'!$D$244:$D$260,'Function-Grant'!AI$4,'Exp Details'!$H$244:$H$260)</f>
        <v>0</v>
      </c>
      <c r="AJ89" s="39">
        <f>SUMIF('Exp Details'!$D$244:$D$260,'Function-Grant'!AJ$4,'Exp Details'!$H$244:$H$260)</f>
        <v>0</v>
      </c>
      <c r="AK89" s="39">
        <f>SUMIF('Exp Details'!$D$244:$D$260,'Function-Grant'!AK$4,'Exp Details'!$H$244:$H$260)</f>
        <v>0</v>
      </c>
      <c r="AL89" s="39">
        <f>SUMIF('Exp Details'!$D$244:$D$260,'Function-Grant'!AL$4,'Exp Details'!$H$244:$H$260)</f>
        <v>0</v>
      </c>
      <c r="AM89" s="39">
        <f>SUMIF('Exp Details'!$D$244:$D$260,'Function-Grant'!AM$4,'Exp Details'!$H$244:$H$260)</f>
        <v>0</v>
      </c>
      <c r="AN89" s="39">
        <f>SUMIF('Exp Details'!$D$244:$D$260,'Function-Grant'!AN$4,'Exp Details'!$H$244:$H$260)</f>
        <v>0</v>
      </c>
      <c r="AO89" s="41"/>
      <c r="AP89" s="59">
        <f>SUM(E89:AO89)</f>
        <v>60458.71</v>
      </c>
      <c r="AQ89" s="41"/>
      <c r="AR89" s="258">
        <f>AP89-'FY21'!S89</f>
        <v>0</v>
      </c>
    </row>
    <row r="90" spans="3:44" s="37" customFormat="1" ht="12" x14ac:dyDescent="0.2">
      <c r="C90" s="199">
        <v>6550</v>
      </c>
      <c r="D90" s="37" t="s">
        <v>31</v>
      </c>
      <c r="E90" s="39">
        <f>SUMIF('Exp Details'!$D$264:$D$267,'Function-Grant'!E$4,'Exp Details'!$H$264:$H$267)</f>
        <v>0</v>
      </c>
      <c r="F90" s="39">
        <f>SUMIF('Exp Details'!$D$264:$D$267,'Function-Grant'!F$4,'Exp Details'!$H$264:$H$267)</f>
        <v>0</v>
      </c>
      <c r="G90" s="39">
        <f>SUMIF('Exp Details'!$D$264:$D$267,'Function-Grant'!G$4,'Exp Details'!$H$264:$H$267)</f>
        <v>0</v>
      </c>
      <c r="H90" s="39">
        <f>SUMIF('Exp Details'!$D$264:$D$267,'Function-Grant'!H$4,'Exp Details'!$H$264:$H$267)</f>
        <v>0</v>
      </c>
      <c r="I90" s="39">
        <f>SUMIF('Exp Details'!$D$264:$D$267,'Function-Grant'!I$4,'Exp Details'!$H$264:$H$267)</f>
        <v>0</v>
      </c>
      <c r="J90" s="39">
        <f>SUMIF('Exp Details'!$D$264:$D$267,'Function-Grant'!J$4,'Exp Details'!$H$264:$H$267)</f>
        <v>0</v>
      </c>
      <c r="K90" s="39">
        <f>SUMIF('Exp Details'!$D$264:$D$267,'Function-Grant'!K$4,'Exp Details'!$H$264:$H$267)</f>
        <v>0</v>
      </c>
      <c r="L90" s="39">
        <f>SUMIF('Exp Details'!$D$264:$D$267,'Function-Grant'!L$4,'Exp Details'!$H$264:$H$267)</f>
        <v>0</v>
      </c>
      <c r="M90" s="370">
        <f>SUMIF('Exp Details'!$D$264:$D$267,'Function-Grant'!M$4,'Exp Details'!$H$264:$H$267)</f>
        <v>621.72</v>
      </c>
      <c r="N90" s="39">
        <f>SUMIF('Exp Details'!$D$264:$D$267,'Function-Grant'!N$4,'Exp Details'!$H$264:$H$267)</f>
        <v>0</v>
      </c>
      <c r="O90" s="39">
        <f>SUMIF('Exp Details'!$D$264:$D$267,'Function-Grant'!O$4,'Exp Details'!$H$264:$H$267)</f>
        <v>0</v>
      </c>
      <c r="P90" s="39">
        <f>SUMIF('Exp Details'!$D$264:$D$267,'Function-Grant'!P$4,'Exp Details'!$H$264:$H$267)</f>
        <v>0</v>
      </c>
      <c r="Q90" s="39">
        <f>SUMIF('Exp Details'!$D$264:$D$267,'Function-Grant'!Q$4,'Exp Details'!$H$264:$H$267)</f>
        <v>0</v>
      </c>
      <c r="R90" s="39">
        <f>SUMIF('Exp Details'!$D$264:$D$267,'Function-Grant'!R$4,'Exp Details'!$H$264:$H$267)</f>
        <v>0</v>
      </c>
      <c r="S90" s="39">
        <f>SUMIF('Exp Details'!$D$264:$D$267,'Function-Grant'!S$4,'Exp Details'!$H$264:$H$267)</f>
        <v>0</v>
      </c>
      <c r="T90" s="39">
        <f>SUMIF('Exp Details'!$D$264:$D$267,'Function-Grant'!T$4,'Exp Details'!$H$264:$H$267)</f>
        <v>0</v>
      </c>
      <c r="U90" s="39">
        <f>SUMIF('Exp Details'!$D$264:$D$267,'Function-Grant'!U$4,'Exp Details'!$H$264:$H$267)</f>
        <v>0</v>
      </c>
      <c r="V90" s="39">
        <f>SUMIF('Exp Details'!$D$264:$D$267,'Function-Grant'!V$4,'Exp Details'!$H$264:$H$267)</f>
        <v>0</v>
      </c>
      <c r="W90" s="39">
        <f>SUMIF('Exp Details'!$D$264:$D$267,'Function-Grant'!W$4,'Exp Details'!$H$264:$H$267)</f>
        <v>0</v>
      </c>
      <c r="X90" s="39">
        <f>SUMIF('Exp Details'!$D$264:$D$267,'Function-Grant'!X$4,'Exp Details'!$H$264:$H$267)</f>
        <v>0</v>
      </c>
      <c r="Y90" s="39">
        <f>SUMIF('Exp Details'!$D$264:$D$267,'Function-Grant'!Y$4,'Exp Details'!$H$264:$H$267)</f>
        <v>0</v>
      </c>
      <c r="Z90" s="39">
        <f>SUMIF('Exp Details'!$D$264:$D$267,'Function-Grant'!Z$4,'Exp Details'!$H$264:$H$267)</f>
        <v>0</v>
      </c>
      <c r="AA90" s="39">
        <f>SUMIF('Exp Details'!$D$264:$D$267,'Function-Grant'!AA$4,'Exp Details'!$H$264:$H$267)</f>
        <v>0</v>
      </c>
      <c r="AB90" s="39">
        <f>SUMIF('Exp Details'!$D$264:$D$267,'Function-Grant'!AB$4,'Exp Details'!$H$264:$H$267)</f>
        <v>0</v>
      </c>
      <c r="AC90" s="39">
        <f>SUMIF('Exp Details'!$D$264:$D$267,'Function-Grant'!AC$4,'Exp Details'!$H$264:$H$267)</f>
        <v>0</v>
      </c>
      <c r="AD90" s="39">
        <f>SUMIF('Exp Details'!$D$264:$D$267,'Function-Grant'!AD$4,'Exp Details'!$H$264:$H$267)</f>
        <v>0</v>
      </c>
      <c r="AE90" s="39">
        <f>SUMIF('Exp Details'!$D$264:$D$267,'Function-Grant'!AE$4,'Exp Details'!$H$264:$H$267)</f>
        <v>0</v>
      </c>
      <c r="AF90" s="39">
        <f>SUMIF('Exp Details'!$D$264:$D$267,'Function-Grant'!AF$4,'Exp Details'!$H$264:$H$267)</f>
        <v>0</v>
      </c>
      <c r="AG90" s="39">
        <f>SUMIF('Exp Details'!$D$264:$D$267,'Function-Grant'!AG$4,'Exp Details'!$H$264:$H$267)</f>
        <v>0</v>
      </c>
      <c r="AH90" s="39">
        <f>SUMIF('Exp Details'!$D$264:$D$267,'Function-Grant'!AH$4,'Exp Details'!$H$264:$H$267)</f>
        <v>0</v>
      </c>
      <c r="AI90" s="39">
        <f>SUMIF('Exp Details'!$D$264:$D$267,'Function-Grant'!AI$4,'Exp Details'!$H$264:$H$267)</f>
        <v>0</v>
      </c>
      <c r="AJ90" s="39">
        <f>SUMIF('Exp Details'!$D$264:$D$267,'Function-Grant'!AJ$4,'Exp Details'!$H$264:$H$267)</f>
        <v>0</v>
      </c>
      <c r="AK90" s="39">
        <f>SUMIF('Exp Details'!$D$264:$D$267,'Function-Grant'!AK$4,'Exp Details'!$H$264:$H$267)</f>
        <v>0</v>
      </c>
      <c r="AL90" s="39">
        <f>SUMIF('Exp Details'!$D$264:$D$267,'Function-Grant'!AL$4,'Exp Details'!$H$264:$H$267)</f>
        <v>0</v>
      </c>
      <c r="AM90" s="39">
        <f>SUMIF('Exp Details'!$D$264:$D$267,'Function-Grant'!AM$4,'Exp Details'!$H$264:$H$267)</f>
        <v>0</v>
      </c>
      <c r="AN90" s="39">
        <f>SUMIF('Exp Details'!$D$264:$D$267,'Function-Grant'!AN$4,'Exp Details'!$H$264:$H$267)</f>
        <v>0</v>
      </c>
      <c r="AO90" s="41"/>
      <c r="AP90" s="59">
        <f t="shared" si="46"/>
        <v>621.72</v>
      </c>
      <c r="AQ90" s="41"/>
      <c r="AR90" s="258">
        <f>AP90-'FY21'!S90</f>
        <v>0</v>
      </c>
    </row>
    <row r="91" spans="3:44" s="37" customFormat="1" ht="12" x14ac:dyDescent="0.2">
      <c r="C91" s="206">
        <v>6568</v>
      </c>
      <c r="D91" s="37" t="s">
        <v>186</v>
      </c>
      <c r="E91" s="39">
        <f>SUMIF('Exp Details'!$D$271:$D$274,'Function-Grant'!E$4,'Exp Details'!$H$271:$H$274)</f>
        <v>0</v>
      </c>
      <c r="F91" s="39">
        <f>SUMIF('Exp Details'!$D$271:$D$274,'Function-Grant'!F$4,'Exp Details'!$H$271:$H$274)</f>
        <v>0</v>
      </c>
      <c r="G91" s="39">
        <f>SUMIF('Exp Details'!$D$271:$D$274,'Function-Grant'!G$4,'Exp Details'!$H$271:$H$274)</f>
        <v>0</v>
      </c>
      <c r="H91" s="39">
        <f>SUMIF('Exp Details'!$D$271:$D$274,'Function-Grant'!H$4,'Exp Details'!$H$271:$H$274)</f>
        <v>0</v>
      </c>
      <c r="I91" s="39">
        <f>SUMIF('Exp Details'!$D$271:$D$274,'Function-Grant'!I$4,'Exp Details'!$H$271:$H$274)</f>
        <v>0</v>
      </c>
      <c r="J91" s="39">
        <f>SUMIF('Exp Details'!$D$271:$D$274,'Function-Grant'!J$4,'Exp Details'!$H$271:$H$274)</f>
        <v>0</v>
      </c>
      <c r="K91" s="39">
        <f>SUMIF('Exp Details'!$D$271:$D$274,'Function-Grant'!K$4,'Exp Details'!$H$271:$H$274)</f>
        <v>0</v>
      </c>
      <c r="L91" s="39">
        <f>SUMIF('Exp Details'!$D$271:$D$274,'Function-Grant'!L$4,'Exp Details'!$H$271:$H$274)</f>
        <v>0</v>
      </c>
      <c r="M91" s="39">
        <f>SUMIF('Exp Details'!$D$271:$D$274,'Function-Grant'!M$4,'Exp Details'!$H$271:$H$274)</f>
        <v>0</v>
      </c>
      <c r="N91" s="39">
        <f>SUMIF('Exp Details'!$D$271:$D$274,'Function-Grant'!N$4,'Exp Details'!$H$271:$H$274)</f>
        <v>0</v>
      </c>
      <c r="O91" s="39">
        <f>SUMIF('Exp Details'!$D$271:$D$274,'Function-Grant'!O$4,'Exp Details'!$H$271:$H$274)</f>
        <v>0</v>
      </c>
      <c r="P91" s="39">
        <f>SUMIF('Exp Details'!$D$271:$D$274,'Function-Grant'!P$4,'Exp Details'!$H$271:$H$274)</f>
        <v>0</v>
      </c>
      <c r="Q91" s="39">
        <f>SUMIF('Exp Details'!$D$271:$D$274,'Function-Grant'!Q$4,'Exp Details'!$H$271:$H$274)</f>
        <v>0</v>
      </c>
      <c r="R91" s="39">
        <f>SUMIF('Exp Details'!$D$271:$D$274,'Function-Grant'!R$4,'Exp Details'!$H$271:$H$274)</f>
        <v>0</v>
      </c>
      <c r="S91" s="39">
        <f>SUMIF('Exp Details'!$D$271:$D$274,'Function-Grant'!S$4,'Exp Details'!$H$271:$H$274)</f>
        <v>0</v>
      </c>
      <c r="T91" s="39">
        <f>SUMIF('Exp Details'!$D$271:$D$274,'Function-Grant'!T$4,'Exp Details'!$H$271:$H$274)</f>
        <v>0</v>
      </c>
      <c r="U91" s="39">
        <f>SUMIF('Exp Details'!$D$271:$D$274,'Function-Grant'!U$4,'Exp Details'!$H$271:$H$274)</f>
        <v>0</v>
      </c>
      <c r="V91" s="39">
        <f>SUMIF('Exp Details'!$D$271:$D$274,'Function-Grant'!V$4,'Exp Details'!$H$271:$H$274)</f>
        <v>0</v>
      </c>
      <c r="W91" s="39">
        <f>SUMIF('Exp Details'!$D$271:$D$274,'Function-Grant'!W$4,'Exp Details'!$H$271:$H$274)</f>
        <v>0</v>
      </c>
      <c r="X91" s="39">
        <f>SUMIF('Exp Details'!$D$271:$D$274,'Function-Grant'!X$4,'Exp Details'!$H$271:$H$274)</f>
        <v>0</v>
      </c>
      <c r="Y91" s="39">
        <f>SUMIF('Exp Details'!$D$271:$D$274,'Function-Grant'!Y$4,'Exp Details'!$H$271:$H$274)</f>
        <v>0</v>
      </c>
      <c r="Z91" s="39">
        <f>SUMIF('Exp Details'!$D$271:$D$274,'Function-Grant'!Z$4,'Exp Details'!$H$271:$H$274)</f>
        <v>0</v>
      </c>
      <c r="AA91" s="39">
        <f>SUMIF('Exp Details'!$D$271:$D$274,'Function-Grant'!AA$4,'Exp Details'!$H$271:$H$274)</f>
        <v>0</v>
      </c>
      <c r="AB91" s="39">
        <f>SUMIF('Exp Details'!$D$271:$D$274,'Function-Grant'!AB$4,'Exp Details'!$H$271:$H$274)</f>
        <v>0</v>
      </c>
      <c r="AC91" s="39">
        <f>SUMIF('Exp Details'!$D$271:$D$274,'Function-Grant'!AC$4,'Exp Details'!$H$271:$H$274)</f>
        <v>0</v>
      </c>
      <c r="AD91" s="39">
        <f>SUMIF('Exp Details'!$D$271:$D$274,'Function-Grant'!AD$4,'Exp Details'!$H$271:$H$274)</f>
        <v>0</v>
      </c>
      <c r="AE91" s="39">
        <f>SUMIF('Exp Details'!$D$271:$D$274,'Function-Grant'!AE$4,'Exp Details'!$H$271:$H$274)</f>
        <v>0</v>
      </c>
      <c r="AF91" s="39">
        <f>SUMIF('Exp Details'!$D$271:$D$274,'Function-Grant'!AF$4,'Exp Details'!$H$271:$H$274)</f>
        <v>0</v>
      </c>
      <c r="AG91" s="39">
        <f>SUMIF('Exp Details'!$D$271:$D$274,'Function-Grant'!AG$4,'Exp Details'!$H$271:$H$274)</f>
        <v>0</v>
      </c>
      <c r="AH91" s="39">
        <f>SUMIF('Exp Details'!$D$271:$D$274,'Function-Grant'!AH$4,'Exp Details'!$H$271:$H$274)</f>
        <v>0</v>
      </c>
      <c r="AI91" s="39">
        <f>SUMIF('Exp Details'!$D$271:$D$274,'Function-Grant'!AI$4,'Exp Details'!$H$271:$H$274)</f>
        <v>0</v>
      </c>
      <c r="AJ91" s="39">
        <f>SUMIF('Exp Details'!$D$271:$D$274,'Function-Grant'!AJ$4,'Exp Details'!$H$271:$H$274)</f>
        <v>0</v>
      </c>
      <c r="AK91" s="39">
        <f>SUMIF('Exp Details'!$D$271:$D$274,'Function-Grant'!AK$4,'Exp Details'!$H$271:$H$274)</f>
        <v>0</v>
      </c>
      <c r="AL91" s="39">
        <f>SUMIF('Exp Details'!$D$271:$D$274,'Function-Grant'!AL$4,'Exp Details'!$H$271:$H$274)</f>
        <v>0</v>
      </c>
      <c r="AM91" s="39">
        <f>SUMIF('Exp Details'!$D$271:$D$274,'Function-Grant'!AM$4,'Exp Details'!$H$271:$H$274)</f>
        <v>0</v>
      </c>
      <c r="AN91" s="39">
        <f>SUMIF('Exp Details'!$D$271:$D$274,'Function-Grant'!AN$4,'Exp Details'!$H$271:$H$274)</f>
        <v>0</v>
      </c>
      <c r="AO91" s="41"/>
      <c r="AP91" s="59">
        <f t="shared" si="46"/>
        <v>0</v>
      </c>
      <c r="AQ91" s="41"/>
      <c r="AR91" s="258">
        <f>AP91-'FY21'!S91</f>
        <v>0</v>
      </c>
    </row>
    <row r="92" spans="3:44" s="37" customFormat="1" ht="12" x14ac:dyDescent="0.2">
      <c r="C92" s="199">
        <v>6569</v>
      </c>
      <c r="D92" s="37" t="s">
        <v>32</v>
      </c>
      <c r="E92" s="39">
        <f>SUMIF('Exp Details'!$D$278:$D$281,'Function-Grant'!E$4,'Exp Details'!$H$278:$H$281)</f>
        <v>0</v>
      </c>
      <c r="F92" s="370">
        <f>SUMIF('Exp Details'!$D$278:$D$281,'Function-Grant'!F$4,'Exp Details'!$H$278:$H$281)</f>
        <v>0</v>
      </c>
      <c r="G92" s="39">
        <f>SUMIF('Exp Details'!$D$278:$D$281,'Function-Grant'!G$4,'Exp Details'!$H$278:$H$281)</f>
        <v>0</v>
      </c>
      <c r="H92" s="39">
        <f>SUMIF('Exp Details'!$D$278:$D$281,'Function-Grant'!H$4,'Exp Details'!$H$278:$H$281)</f>
        <v>0</v>
      </c>
      <c r="I92" s="39">
        <f>SUMIF('Exp Details'!$D$278:$D$281,'Function-Grant'!I$4,'Exp Details'!$H$278:$H$281)</f>
        <v>0</v>
      </c>
      <c r="J92" s="39">
        <f>SUMIF('Exp Details'!$D$278:$D$281,'Function-Grant'!J$4,'Exp Details'!$H$278:$H$281)</f>
        <v>0</v>
      </c>
      <c r="K92" s="39">
        <f>SUMIF('Exp Details'!$D$278:$D$281,'Function-Grant'!K$4,'Exp Details'!$H$278:$H$281)</f>
        <v>0</v>
      </c>
      <c r="L92" s="39">
        <f>SUMIF('Exp Details'!$D$278:$D$281,'Function-Grant'!L$4,'Exp Details'!$H$278:$H$281)</f>
        <v>0</v>
      </c>
      <c r="M92" s="39">
        <f>SUMIF('Exp Details'!$D$278:$D$281,'Function-Grant'!M$4,'Exp Details'!$H$278:$H$281)</f>
        <v>0</v>
      </c>
      <c r="N92" s="39">
        <f>SUMIF('Exp Details'!$D$278:$D$281,'Function-Grant'!N$4,'Exp Details'!$H$278:$H$281)</f>
        <v>0</v>
      </c>
      <c r="O92" s="39">
        <f>SUMIF('Exp Details'!$D$278:$D$281,'Function-Grant'!O$4,'Exp Details'!$H$278:$H$281)</f>
        <v>0</v>
      </c>
      <c r="P92" s="39">
        <f>SUMIF('Exp Details'!$D$278:$D$281,'Function-Grant'!P$4,'Exp Details'!$H$278:$H$281)</f>
        <v>0</v>
      </c>
      <c r="Q92" s="39">
        <f>SUMIF('Exp Details'!$D$278:$D$281,'Function-Grant'!Q$4,'Exp Details'!$H$278:$H$281)</f>
        <v>0</v>
      </c>
      <c r="R92" s="39">
        <f>SUMIF('Exp Details'!$D$278:$D$281,'Function-Grant'!R$4,'Exp Details'!$H$278:$H$281)</f>
        <v>0</v>
      </c>
      <c r="S92" s="39">
        <f>SUMIF('Exp Details'!$D$278:$D$281,'Function-Grant'!S$4,'Exp Details'!$H$278:$H$281)</f>
        <v>0</v>
      </c>
      <c r="T92" s="39">
        <f>SUMIF('Exp Details'!$D$278:$D$281,'Function-Grant'!T$4,'Exp Details'!$H$278:$H$281)</f>
        <v>0</v>
      </c>
      <c r="U92" s="39">
        <f>SUMIF('Exp Details'!$D$278:$D$281,'Function-Grant'!U$4,'Exp Details'!$H$278:$H$281)</f>
        <v>0</v>
      </c>
      <c r="V92" s="39">
        <f>SUMIF('Exp Details'!$D$278:$D$281,'Function-Grant'!V$4,'Exp Details'!$H$278:$H$281)</f>
        <v>0</v>
      </c>
      <c r="W92" s="39">
        <f>SUMIF('Exp Details'!$D$278:$D$281,'Function-Grant'!W$4,'Exp Details'!$H$278:$H$281)</f>
        <v>0</v>
      </c>
      <c r="X92" s="39">
        <f>SUMIF('Exp Details'!$D$278:$D$281,'Function-Grant'!X$4,'Exp Details'!$H$278:$H$281)</f>
        <v>0</v>
      </c>
      <c r="Y92" s="39">
        <f>SUMIF('Exp Details'!$D$278:$D$281,'Function-Grant'!Y$4,'Exp Details'!$H$278:$H$281)</f>
        <v>0</v>
      </c>
      <c r="Z92" s="39">
        <f>SUMIF('Exp Details'!$D$278:$D$281,'Function-Grant'!Z$4,'Exp Details'!$H$278:$H$281)</f>
        <v>0</v>
      </c>
      <c r="AA92" s="39">
        <f>SUMIF('Exp Details'!$D$278:$D$281,'Function-Grant'!AA$4,'Exp Details'!$H$278:$H$281)</f>
        <v>0</v>
      </c>
      <c r="AB92" s="39">
        <f>SUMIF('Exp Details'!$D$278:$D$281,'Function-Grant'!AB$4,'Exp Details'!$H$278:$H$281)</f>
        <v>0</v>
      </c>
      <c r="AC92" s="39">
        <f>SUMIF('Exp Details'!$D$278:$D$281,'Function-Grant'!AC$4,'Exp Details'!$H$278:$H$281)</f>
        <v>0</v>
      </c>
      <c r="AD92" s="39">
        <f>SUMIF('Exp Details'!$D$278:$D$281,'Function-Grant'!AD$4,'Exp Details'!$H$278:$H$281)</f>
        <v>0</v>
      </c>
      <c r="AE92" s="39">
        <f>SUMIF('Exp Details'!$D$278:$D$281,'Function-Grant'!AE$4,'Exp Details'!$H$278:$H$281)</f>
        <v>0</v>
      </c>
      <c r="AF92" s="39">
        <f>SUMIF('Exp Details'!$D$278:$D$281,'Function-Grant'!AF$4,'Exp Details'!$H$278:$H$281)</f>
        <v>0</v>
      </c>
      <c r="AG92" s="39">
        <f>SUMIF('Exp Details'!$D$278:$D$281,'Function-Grant'!AG$4,'Exp Details'!$H$278:$H$281)</f>
        <v>0</v>
      </c>
      <c r="AH92" s="39">
        <f>SUMIF('Exp Details'!$D$278:$D$281,'Function-Grant'!AH$4,'Exp Details'!$H$278:$H$281)</f>
        <v>0</v>
      </c>
      <c r="AI92" s="39">
        <f>SUMIF('Exp Details'!$D$278:$D$281,'Function-Grant'!AI$4,'Exp Details'!$H$278:$H$281)</f>
        <v>0</v>
      </c>
      <c r="AJ92" s="39">
        <f>SUMIF('Exp Details'!$D$278:$D$281,'Function-Grant'!AJ$4,'Exp Details'!$H$278:$H$281)</f>
        <v>0</v>
      </c>
      <c r="AK92" s="39">
        <f>SUMIF('Exp Details'!$D$278:$D$281,'Function-Grant'!AK$4,'Exp Details'!$H$278:$H$281)</f>
        <v>0</v>
      </c>
      <c r="AL92" s="39">
        <f>SUMIF('Exp Details'!$D$278:$D$281,'Function-Grant'!AL$4,'Exp Details'!$H$278:$H$281)</f>
        <v>0</v>
      </c>
      <c r="AM92" s="39">
        <f>SUMIF('Exp Details'!$D$278:$D$281,'Function-Grant'!AM$4,'Exp Details'!$H$278:$H$281)</f>
        <v>0</v>
      </c>
      <c r="AN92" s="39">
        <f>SUMIF('Exp Details'!$D$278:$D$281,'Function-Grant'!AN$4,'Exp Details'!$H$278:$H$281)</f>
        <v>0</v>
      </c>
      <c r="AO92" s="41"/>
      <c r="AP92" s="59">
        <f t="shared" si="46"/>
        <v>0</v>
      </c>
      <c r="AQ92" s="41"/>
      <c r="AR92" s="258">
        <f>AP92-'FY21'!S92</f>
        <v>0</v>
      </c>
    </row>
    <row r="93" spans="3:44" s="37" customFormat="1" ht="12" x14ac:dyDescent="0.2">
      <c r="C93" s="199">
        <v>6580</v>
      </c>
      <c r="D93" s="37" t="s">
        <v>33</v>
      </c>
      <c r="E93" s="39">
        <f>SUMIF('Exp Details'!$D$285:$D$303,'Function-Grant'!E$4,'Exp Details'!$H$285:$H$303)</f>
        <v>0</v>
      </c>
      <c r="F93" s="39">
        <f>SUMIF('Exp Details'!$D$285:$D$303,'Function-Grant'!F$4,'Exp Details'!$H$285:$H$303)</f>
        <v>0</v>
      </c>
      <c r="G93" s="39">
        <f>SUMIF('Exp Details'!$D$285:$D$303,'Function-Grant'!G$4,'Exp Details'!$H$285:$H$303)</f>
        <v>0</v>
      </c>
      <c r="H93" s="39">
        <f>SUMIF('Exp Details'!$D$285:$D$303,'Function-Grant'!H$4,'Exp Details'!$H$285:$H$303)</f>
        <v>0</v>
      </c>
      <c r="I93" s="39">
        <f>SUMIF('Exp Details'!$D$285:$D$303,'Function-Grant'!I$4,'Exp Details'!$H$285:$H$303)</f>
        <v>0</v>
      </c>
      <c r="J93" s="39">
        <f>SUMIF('Exp Details'!$D$285:$D$303,'Function-Grant'!J$4,'Exp Details'!$H$285:$H$303)</f>
        <v>0</v>
      </c>
      <c r="K93" s="39">
        <f>SUMIF('Exp Details'!$D$285:$D$303,'Function-Grant'!K$4,'Exp Details'!$H$285:$H$303)</f>
        <v>0</v>
      </c>
      <c r="L93" s="39">
        <f>SUMIF('Exp Details'!$D$285:$D$303,'Function-Grant'!L$4,'Exp Details'!$H$285:$H$303)</f>
        <v>2400</v>
      </c>
      <c r="M93" s="370">
        <f>SUMIF('Exp Details'!$D$285:$D$303,'Function-Grant'!M$4,'Exp Details'!$H$285:$H$303)</f>
        <v>4000</v>
      </c>
      <c r="N93" s="370">
        <f>SUMIF('Exp Details'!$D$285:$D$303,'Function-Grant'!N$4,'Exp Details'!$H$285:$H$303)</f>
        <v>4400</v>
      </c>
      <c r="O93" s="370">
        <f>SUMIF('Exp Details'!$D$285:$D$303,'Function-Grant'!O$4,'Exp Details'!$H$285:$H$303)</f>
        <v>4000</v>
      </c>
      <c r="P93" s="39">
        <f>SUMIF('Exp Details'!$D$285:$D$303,'Function-Grant'!P$4,'Exp Details'!$H$285:$H$303)</f>
        <v>0</v>
      </c>
      <c r="Q93" s="39">
        <f>SUMIF('Exp Details'!$D$285:$D$303,'Function-Grant'!Q$4,'Exp Details'!$H$285:$H$303)</f>
        <v>0</v>
      </c>
      <c r="R93" s="39">
        <f>SUMIF('Exp Details'!$D$285:$D$303,'Function-Grant'!R$4,'Exp Details'!$H$285:$H$303)</f>
        <v>0</v>
      </c>
      <c r="S93" s="39">
        <f>SUMIF('Exp Details'!$D$285:$D$303,'Function-Grant'!S$4,'Exp Details'!$H$285:$H$303)</f>
        <v>0</v>
      </c>
      <c r="T93" s="39">
        <f>SUMIF('Exp Details'!$D$285:$D$303,'Function-Grant'!T$4,'Exp Details'!$H$285:$H$303)</f>
        <v>0</v>
      </c>
      <c r="U93" s="39">
        <f>SUMIF('Exp Details'!$D$285:$D$303,'Function-Grant'!U$4,'Exp Details'!$H$285:$H$303)</f>
        <v>0</v>
      </c>
      <c r="V93" s="39">
        <f>SUMIF('Exp Details'!$D$285:$D$303,'Function-Grant'!V$4,'Exp Details'!$H$285:$H$303)</f>
        <v>0</v>
      </c>
      <c r="W93" s="39">
        <f>SUMIF('Exp Details'!$D$285:$D$303,'Function-Grant'!W$4,'Exp Details'!$H$285:$H$303)</f>
        <v>0</v>
      </c>
      <c r="X93" s="39">
        <f>SUMIF('Exp Details'!$D$285:$D$303,'Function-Grant'!X$4,'Exp Details'!$H$285:$H$303)</f>
        <v>0</v>
      </c>
      <c r="Y93" s="39">
        <f>SUMIF('Exp Details'!$D$285:$D$303,'Function-Grant'!Y$4,'Exp Details'!$H$285:$H$303)</f>
        <v>0</v>
      </c>
      <c r="Z93" s="39">
        <f>SUMIF('Exp Details'!$D$285:$D$303,'Function-Grant'!Z$4,'Exp Details'!$H$285:$H$303)</f>
        <v>0</v>
      </c>
      <c r="AA93" s="39">
        <f>SUMIF('Exp Details'!$D$285:$D$303,'Function-Grant'!AA$4,'Exp Details'!$H$285:$H$303)</f>
        <v>0</v>
      </c>
      <c r="AB93" s="39">
        <f>SUMIF('Exp Details'!$D$285:$D$303,'Function-Grant'!AB$4,'Exp Details'!$H$285:$H$303)</f>
        <v>0</v>
      </c>
      <c r="AC93" s="39">
        <f>SUMIF('Exp Details'!$D$285:$D$303,'Function-Grant'!AC$4,'Exp Details'!$H$285:$H$303)</f>
        <v>0</v>
      </c>
      <c r="AD93" s="39">
        <f>SUMIF('Exp Details'!$D$285:$D$303,'Function-Grant'!AD$4,'Exp Details'!$H$285:$H$303)</f>
        <v>0</v>
      </c>
      <c r="AE93" s="39">
        <f>SUMIF('Exp Details'!$D$285:$D$303,'Function-Grant'!AE$4,'Exp Details'!$H$285:$H$303)</f>
        <v>0</v>
      </c>
      <c r="AF93" s="39">
        <f>SUMIF('Exp Details'!$D$285:$D$303,'Function-Grant'!AF$4,'Exp Details'!$H$285:$H$303)</f>
        <v>0</v>
      </c>
      <c r="AG93" s="39">
        <f>SUMIF('Exp Details'!$D$285:$D$303,'Function-Grant'!AG$4,'Exp Details'!$H$285:$H$303)</f>
        <v>0</v>
      </c>
      <c r="AH93" s="39">
        <f>SUMIF('Exp Details'!$D$285:$D$303,'Function-Grant'!AH$4,'Exp Details'!$H$285:$H$303)</f>
        <v>0</v>
      </c>
      <c r="AI93" s="39">
        <f>SUMIF('Exp Details'!$D$285:$D$303,'Function-Grant'!AI$4,'Exp Details'!$H$285:$H$303)</f>
        <v>0</v>
      </c>
      <c r="AJ93" s="39">
        <f>SUMIF('Exp Details'!$D$285:$D$303,'Function-Grant'!AJ$4,'Exp Details'!$H$285:$H$303)</f>
        <v>0</v>
      </c>
      <c r="AK93" s="39">
        <f>SUMIF('Exp Details'!$D$285:$D$303,'Function-Grant'!AK$4,'Exp Details'!$H$285:$H$303)</f>
        <v>0</v>
      </c>
      <c r="AL93" s="39">
        <f>SUMIF('Exp Details'!$D$285:$D$303,'Function-Grant'!AL$4,'Exp Details'!$H$285:$H$303)</f>
        <v>0</v>
      </c>
      <c r="AM93" s="39">
        <f>SUMIF('Exp Details'!$D$285:$D$303,'Function-Grant'!AM$4,'Exp Details'!$H$285:$H$303)</f>
        <v>0</v>
      </c>
      <c r="AN93" s="370">
        <f>SUMIF('Exp Details'!$D$285:$D$303,'Function-Grant'!AN$4,'Exp Details'!$H$285:$H$303)</f>
        <v>4755</v>
      </c>
      <c r="AO93" s="41"/>
      <c r="AP93" s="59">
        <f t="shared" si="46"/>
        <v>19555</v>
      </c>
      <c r="AQ93" s="41"/>
      <c r="AR93" s="258">
        <f>AP93-'FY21'!S93</f>
        <v>0</v>
      </c>
    </row>
    <row r="94" spans="3:44" s="37" customFormat="1" ht="12" x14ac:dyDescent="0.2">
      <c r="C94" s="38"/>
      <c r="E94" s="50">
        <f t="shared" ref="E94:AN94" si="47">SUBTOTAL(9,E82:E93)</f>
        <v>0</v>
      </c>
      <c r="F94" s="50">
        <f>SUBTOTAL(9,F82:F93)</f>
        <v>46343</v>
      </c>
      <c r="G94" s="50">
        <f>SUBTOTAL(9,G82:G93)</f>
        <v>0</v>
      </c>
      <c r="H94" s="50">
        <f t="shared" si="47"/>
        <v>0</v>
      </c>
      <c r="I94" s="50">
        <f t="shared" si="47"/>
        <v>0</v>
      </c>
      <c r="J94" s="50">
        <f t="shared" si="47"/>
        <v>0</v>
      </c>
      <c r="K94" s="50">
        <f t="shared" si="47"/>
        <v>0</v>
      </c>
      <c r="L94" s="50">
        <f t="shared" si="47"/>
        <v>2400</v>
      </c>
      <c r="M94" s="50">
        <f t="shared" si="47"/>
        <v>7861.72</v>
      </c>
      <c r="N94" s="50">
        <f t="shared" si="47"/>
        <v>4400</v>
      </c>
      <c r="O94" s="50">
        <f t="shared" si="47"/>
        <v>62496.56</v>
      </c>
      <c r="P94" s="50">
        <f t="shared" ref="P94" si="48">SUBTOTAL(9,P82:P93)</f>
        <v>0</v>
      </c>
      <c r="Q94" s="50">
        <f t="shared" si="47"/>
        <v>47958.71</v>
      </c>
      <c r="R94" s="50">
        <f t="shared" ref="R94:AG94" si="49">SUBTOTAL(9,R82:R93)</f>
        <v>12500</v>
      </c>
      <c r="S94" s="50">
        <f t="shared" si="49"/>
        <v>0</v>
      </c>
      <c r="T94" s="50">
        <f t="shared" si="49"/>
        <v>0</v>
      </c>
      <c r="U94" s="50">
        <f t="shared" si="49"/>
        <v>0</v>
      </c>
      <c r="V94" s="50">
        <f t="shared" si="49"/>
        <v>0</v>
      </c>
      <c r="W94" s="50">
        <f t="shared" si="49"/>
        <v>0</v>
      </c>
      <c r="X94" s="50">
        <f t="shared" si="49"/>
        <v>0</v>
      </c>
      <c r="Y94" s="50">
        <f t="shared" si="49"/>
        <v>0</v>
      </c>
      <c r="Z94" s="50">
        <f t="shared" si="49"/>
        <v>0</v>
      </c>
      <c r="AA94" s="50">
        <f t="shared" si="49"/>
        <v>0</v>
      </c>
      <c r="AB94" s="50">
        <f t="shared" si="49"/>
        <v>0</v>
      </c>
      <c r="AC94" s="50">
        <f t="shared" si="49"/>
        <v>0</v>
      </c>
      <c r="AD94" s="50">
        <f t="shared" si="49"/>
        <v>0</v>
      </c>
      <c r="AE94" s="50">
        <f t="shared" si="49"/>
        <v>0</v>
      </c>
      <c r="AF94" s="50">
        <f t="shared" si="49"/>
        <v>0</v>
      </c>
      <c r="AG94" s="50">
        <f t="shared" si="49"/>
        <v>0</v>
      </c>
      <c r="AH94" s="50">
        <f t="shared" si="47"/>
        <v>0</v>
      </c>
      <c r="AI94" s="50">
        <f t="shared" si="47"/>
        <v>0</v>
      </c>
      <c r="AJ94" s="50">
        <f t="shared" si="47"/>
        <v>0</v>
      </c>
      <c r="AK94" s="50">
        <f t="shared" ref="AK94" si="50">SUBTOTAL(9,AK82:AK93)</f>
        <v>0</v>
      </c>
      <c r="AL94" s="50">
        <f t="shared" si="47"/>
        <v>0</v>
      </c>
      <c r="AM94" s="50">
        <f t="shared" ref="AM94" si="51">SUBTOTAL(9,AM82:AM93)</f>
        <v>0</v>
      </c>
      <c r="AN94" s="50">
        <f t="shared" si="47"/>
        <v>4755</v>
      </c>
      <c r="AO94" s="41"/>
      <c r="AP94" s="61">
        <f t="shared" ref="AP94" si="52">SUBTOTAL(9,AP82:AP93)</f>
        <v>188714.99</v>
      </c>
      <c r="AQ94" s="41"/>
      <c r="AR94" s="258">
        <f>AP94-'FY21'!S94</f>
        <v>0</v>
      </c>
    </row>
    <row r="95" spans="3:44" s="37" customFormat="1" ht="12" x14ac:dyDescent="0.2">
      <c r="C95" s="49" t="s">
        <v>102</v>
      </c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41"/>
      <c r="AP95" s="59"/>
      <c r="AQ95" s="41"/>
      <c r="AR95" s="258">
        <f>AP95-'FY21'!S95</f>
        <v>0</v>
      </c>
    </row>
    <row r="96" spans="3:44" s="37" customFormat="1" ht="12" x14ac:dyDescent="0.2">
      <c r="C96" s="199">
        <v>6610</v>
      </c>
      <c r="D96" s="37" t="s">
        <v>34</v>
      </c>
      <c r="E96" s="39">
        <f>SUMIF('Exp Details'!$D$308:$D$319,'Function-Grant'!E$4,'Exp Details'!$H$308:$H$319)</f>
        <v>0</v>
      </c>
      <c r="F96" s="370">
        <f>SUMIF('Exp Details'!$D$308:$D$319,'Function-Grant'!F$4,'Exp Details'!$H$308:$H$319)</f>
        <v>0</v>
      </c>
      <c r="G96" s="39">
        <f>SUMIF('Exp Details'!$D$308:$D$319,'Function-Grant'!G$4,'Exp Details'!$H$308:$H$319)</f>
        <v>0</v>
      </c>
      <c r="H96" s="39">
        <f>SUMIF('Exp Details'!$D$308:$D$319,'Function-Grant'!H$4,'Exp Details'!$H$308:$H$319)</f>
        <v>0</v>
      </c>
      <c r="I96" s="39">
        <f>SUMIF('Exp Details'!$D$308:$D$319,'Function-Grant'!I$4,'Exp Details'!$H$308:$H$319)</f>
        <v>0</v>
      </c>
      <c r="J96" s="39">
        <f>SUMIF('Exp Details'!$D$308:$D$319,'Function-Grant'!J$4,'Exp Details'!$H$308:$H$319)</f>
        <v>0</v>
      </c>
      <c r="K96" s="39">
        <f>SUMIF('Exp Details'!$D$308:$D$319,'Function-Grant'!K$4,'Exp Details'!$H$308:$H$319)</f>
        <v>0</v>
      </c>
      <c r="L96" s="39">
        <f>SUMIF('Exp Details'!$D$308:$D$319,'Function-Grant'!L$4,'Exp Details'!$H$308:$H$319)</f>
        <v>280</v>
      </c>
      <c r="M96" s="370">
        <f>SUMIF('Exp Details'!$D$308:$D$319,'Function-Grant'!M$4,'Exp Details'!$H$308:$H$319)</f>
        <v>3400</v>
      </c>
      <c r="N96" s="370">
        <f>SUMIF('Exp Details'!$D$308:$D$319,'Function-Grant'!N$4,'Exp Details'!$H$308:$H$319)</f>
        <v>4200</v>
      </c>
      <c r="O96" s="370">
        <f>SUMIF('Exp Details'!$D$308:$D$319,'Function-Grant'!O$4,'Exp Details'!$H$308:$H$319)</f>
        <v>5250</v>
      </c>
      <c r="P96" s="39">
        <f>SUMIF('Exp Details'!$D$308:$D$319,'Function-Grant'!P$4,'Exp Details'!$H$308:$H$319)</f>
        <v>0</v>
      </c>
      <c r="Q96" s="39">
        <f>SUMIF('Exp Details'!$D$308:$D$319,'Function-Grant'!Q$4,'Exp Details'!$H$308:$H$319)</f>
        <v>0</v>
      </c>
      <c r="R96" s="39">
        <f>SUMIF('Exp Details'!$D$308:$D$319,'Function-Grant'!R$4,'Exp Details'!$H$308:$H$319)</f>
        <v>0</v>
      </c>
      <c r="S96" s="39">
        <f>SUMIF('Exp Details'!$D$308:$D$319,'Function-Grant'!S$4,'Exp Details'!$H$308:$H$319)</f>
        <v>0</v>
      </c>
      <c r="T96" s="39">
        <f>SUMIF('Exp Details'!$D$308:$D$319,'Function-Grant'!T$4,'Exp Details'!$H$308:$H$319)</f>
        <v>0</v>
      </c>
      <c r="U96" s="39">
        <f>SUMIF('Exp Details'!$D$308:$D$319,'Function-Grant'!U$4,'Exp Details'!$H$308:$H$319)</f>
        <v>0</v>
      </c>
      <c r="V96" s="39">
        <f>SUMIF('Exp Details'!$D$308:$D$319,'Function-Grant'!V$4,'Exp Details'!$H$308:$H$319)</f>
        <v>0</v>
      </c>
      <c r="W96" s="39">
        <f>SUMIF('Exp Details'!$D$308:$D$319,'Function-Grant'!W$4,'Exp Details'!$H$308:$H$319)</f>
        <v>0</v>
      </c>
      <c r="X96" s="39">
        <f>SUMIF('Exp Details'!$D$308:$D$319,'Function-Grant'!X$4,'Exp Details'!$H$308:$H$319)</f>
        <v>0</v>
      </c>
      <c r="Y96" s="39">
        <f>SUMIF('Exp Details'!$D$308:$D$319,'Function-Grant'!Y$4,'Exp Details'!$H$308:$H$319)</f>
        <v>0</v>
      </c>
      <c r="Z96" s="39">
        <f>SUMIF('Exp Details'!$D$308:$D$319,'Function-Grant'!Z$4,'Exp Details'!$H$308:$H$319)</f>
        <v>0</v>
      </c>
      <c r="AA96" s="39">
        <f>SUMIF('Exp Details'!$D$308:$D$319,'Function-Grant'!AA$4,'Exp Details'!$H$308:$H$319)</f>
        <v>0</v>
      </c>
      <c r="AB96" s="39">
        <f>SUMIF('Exp Details'!$D$308:$D$319,'Function-Grant'!AB$4,'Exp Details'!$H$308:$H$319)</f>
        <v>0</v>
      </c>
      <c r="AC96" s="39">
        <f>SUMIF('Exp Details'!$D$308:$D$319,'Function-Grant'!AC$4,'Exp Details'!$H$308:$H$319)</f>
        <v>0</v>
      </c>
      <c r="AD96" s="39">
        <f>SUMIF('Exp Details'!$D$308:$D$319,'Function-Grant'!AD$4,'Exp Details'!$H$308:$H$319)</f>
        <v>0</v>
      </c>
      <c r="AE96" s="39">
        <f>SUMIF('Exp Details'!$D$308:$D$319,'Function-Grant'!AE$4,'Exp Details'!$H$308:$H$319)</f>
        <v>0</v>
      </c>
      <c r="AF96" s="39">
        <f>SUMIF('Exp Details'!$D$308:$D$319,'Function-Grant'!AF$4,'Exp Details'!$H$308:$H$319)</f>
        <v>0</v>
      </c>
      <c r="AG96" s="39">
        <f>SUMIF('Exp Details'!$D$308:$D$319,'Function-Grant'!AG$4,'Exp Details'!$H$308:$H$319)</f>
        <v>0</v>
      </c>
      <c r="AH96" s="39">
        <f>SUMIF('Exp Details'!$D$308:$D$319,'Function-Grant'!AH$4,'Exp Details'!$H$308:$H$319)</f>
        <v>0</v>
      </c>
      <c r="AI96" s="39">
        <f>SUMIF('Exp Details'!$D$308:$D$319,'Function-Grant'!AI$4,'Exp Details'!$H$308:$H$319)</f>
        <v>0</v>
      </c>
      <c r="AJ96" s="39">
        <f>SUMIF('Exp Details'!$D$308:$D$319,'Function-Grant'!AJ$4,'Exp Details'!$H$308:$H$319)</f>
        <v>0</v>
      </c>
      <c r="AK96" s="39">
        <f>SUMIF('Exp Details'!$D$308:$D$319,'Function-Grant'!AK$4,'Exp Details'!$H$308:$H$319)</f>
        <v>0</v>
      </c>
      <c r="AL96" s="39">
        <f>SUMIF('Exp Details'!$D$308:$D$319,'Function-Grant'!AL$4,'Exp Details'!$H$308:$H$319)</f>
        <v>0</v>
      </c>
      <c r="AM96" s="39">
        <f>SUMIF('Exp Details'!$D$308:$D$319,'Function-Grant'!AM$4,'Exp Details'!$H$308:$H$319)</f>
        <v>0</v>
      </c>
      <c r="AN96" s="39">
        <f>SUMIF('Exp Details'!$D$308:$D$319,'Function-Grant'!AN$4,'Exp Details'!$H$308:$H$319)</f>
        <v>0</v>
      </c>
      <c r="AO96" s="41"/>
      <c r="AP96" s="59">
        <f t="shared" ref="AP96:AP102" si="53">SUM(E96:AO96)</f>
        <v>13130</v>
      </c>
      <c r="AQ96" s="41"/>
      <c r="AR96" s="258">
        <f>AP96-'FY21'!S96</f>
        <v>0</v>
      </c>
    </row>
    <row r="97" spans="3:44" s="37" customFormat="1" ht="12" x14ac:dyDescent="0.2">
      <c r="C97" s="199">
        <v>6612</v>
      </c>
      <c r="D97" s="37" t="s">
        <v>35</v>
      </c>
      <c r="E97" s="39">
        <f>SUMIF('Exp Details'!$D$323:$D$325,'Function-Grant'!E$4,'Exp Details'!$H$323:$H$325)</f>
        <v>0</v>
      </c>
      <c r="F97" s="39">
        <f>SUMIF('Exp Details'!$D$323:$D$325,'Function-Grant'!F$4,'Exp Details'!$H$323:$H$325)</f>
        <v>0</v>
      </c>
      <c r="G97" s="39">
        <f>SUMIF('Exp Details'!$D$323:$D$325,'Function-Grant'!G$4,'Exp Details'!$H$323:$H$325)</f>
        <v>0</v>
      </c>
      <c r="H97" s="39">
        <f>SUMIF('Exp Details'!$D$323:$D$325,'Function-Grant'!H$4,'Exp Details'!$H$323:$H$325)</f>
        <v>0</v>
      </c>
      <c r="I97" s="39">
        <f>SUMIF('Exp Details'!$D$323:$D$325,'Function-Grant'!I$4,'Exp Details'!$H$323:$H$325)</f>
        <v>0</v>
      </c>
      <c r="J97" s="39">
        <f>SUMIF('Exp Details'!$D$323:$D$325,'Function-Grant'!J$4,'Exp Details'!$H$323:$H$325)</f>
        <v>0</v>
      </c>
      <c r="K97" s="39">
        <f>SUMIF('Exp Details'!$D$323:$D$325,'Function-Grant'!K$4,'Exp Details'!$H$323:$H$325)</f>
        <v>0</v>
      </c>
      <c r="L97" s="39">
        <f>SUMIF('Exp Details'!$D$323:$D$325,'Function-Grant'!L$4,'Exp Details'!$H$323:$H$325)</f>
        <v>0</v>
      </c>
      <c r="M97" s="39">
        <f>SUMIF('Exp Details'!$D$323:$D$325,'Function-Grant'!M$4,'Exp Details'!$H$323:$H$325)</f>
        <v>0</v>
      </c>
      <c r="N97" s="39">
        <f>SUMIF('Exp Details'!$D$323:$D$325,'Function-Grant'!N$4,'Exp Details'!$H$323:$H$325)</f>
        <v>0</v>
      </c>
      <c r="O97" s="39">
        <f>SUMIF('Exp Details'!$D$323:$D$325,'Function-Grant'!O$4,'Exp Details'!$H$323:$H$325)</f>
        <v>1500</v>
      </c>
      <c r="P97" s="39">
        <f>SUMIF('Exp Details'!$D$323:$D$325,'Function-Grant'!P$4,'Exp Details'!$H$323:$H$325)</f>
        <v>0</v>
      </c>
      <c r="Q97" s="39">
        <f>SUMIF('Exp Details'!$D$323:$D$325,'Function-Grant'!Q$4,'Exp Details'!$H$323:$H$325)</f>
        <v>0</v>
      </c>
      <c r="R97" s="39">
        <f>SUMIF('Exp Details'!$D$323:$D$325,'Function-Grant'!R$4,'Exp Details'!$H$323:$H$325)</f>
        <v>0</v>
      </c>
      <c r="S97" s="39">
        <f>SUMIF('Exp Details'!$D$323:$D$325,'Function-Grant'!S$4,'Exp Details'!$H$323:$H$325)</f>
        <v>0</v>
      </c>
      <c r="T97" s="39">
        <f>SUMIF('Exp Details'!$D$323:$D$325,'Function-Grant'!T$4,'Exp Details'!$H$323:$H$325)</f>
        <v>0</v>
      </c>
      <c r="U97" s="39">
        <f>SUMIF('Exp Details'!$D$323:$D$325,'Function-Grant'!U$4,'Exp Details'!$H$323:$H$325)</f>
        <v>0</v>
      </c>
      <c r="V97" s="39">
        <f>SUMIF('Exp Details'!$D$323:$D$325,'Function-Grant'!V$4,'Exp Details'!$H$323:$H$325)</f>
        <v>0</v>
      </c>
      <c r="W97" s="39">
        <f>SUMIF('Exp Details'!$D$323:$D$325,'Function-Grant'!W$4,'Exp Details'!$H$323:$H$325)</f>
        <v>0</v>
      </c>
      <c r="X97" s="39">
        <f>SUMIF('Exp Details'!$D$323:$D$325,'Function-Grant'!X$4,'Exp Details'!$H$323:$H$325)</f>
        <v>0</v>
      </c>
      <c r="Y97" s="39">
        <f>SUMIF('Exp Details'!$D$323:$D$325,'Function-Grant'!Y$4,'Exp Details'!$H$323:$H$325)</f>
        <v>0</v>
      </c>
      <c r="Z97" s="39">
        <f>SUMIF('Exp Details'!$D$323:$D$325,'Function-Grant'!Z$4,'Exp Details'!$H$323:$H$325)</f>
        <v>0</v>
      </c>
      <c r="AA97" s="39">
        <f>SUMIF('Exp Details'!$D$323:$D$325,'Function-Grant'!AA$4,'Exp Details'!$H$323:$H$325)</f>
        <v>0</v>
      </c>
      <c r="AB97" s="39">
        <f>SUMIF('Exp Details'!$D$323:$D$325,'Function-Grant'!AB$4,'Exp Details'!$H$323:$H$325)</f>
        <v>0</v>
      </c>
      <c r="AC97" s="39">
        <f>SUMIF('Exp Details'!$D$323:$D$325,'Function-Grant'!AC$4,'Exp Details'!$H$323:$H$325)</f>
        <v>0</v>
      </c>
      <c r="AD97" s="39">
        <f>SUMIF('Exp Details'!$D$323:$D$325,'Function-Grant'!AD$4,'Exp Details'!$H$323:$H$325)</f>
        <v>0</v>
      </c>
      <c r="AE97" s="39">
        <f>SUMIF('Exp Details'!$D$323:$D$325,'Function-Grant'!AE$4,'Exp Details'!$H$323:$H$325)</f>
        <v>0</v>
      </c>
      <c r="AF97" s="39">
        <f>SUMIF('Exp Details'!$D$323:$D$325,'Function-Grant'!AF$4,'Exp Details'!$H$323:$H$325)</f>
        <v>0</v>
      </c>
      <c r="AG97" s="39">
        <f>SUMIF('Exp Details'!$D$323:$D$325,'Function-Grant'!AG$4,'Exp Details'!$H$323:$H$325)</f>
        <v>0</v>
      </c>
      <c r="AH97" s="39">
        <f>SUMIF('Exp Details'!$D$323:$D$325,'Function-Grant'!AH$4,'Exp Details'!$H$323:$H$325)</f>
        <v>0</v>
      </c>
      <c r="AI97" s="39">
        <f>SUMIF('Exp Details'!$D$323:$D$325,'Function-Grant'!AI$4,'Exp Details'!$H$323:$H$325)</f>
        <v>0</v>
      </c>
      <c r="AJ97" s="39">
        <f>SUMIF('Exp Details'!$D$323:$D$325,'Function-Grant'!AJ$4,'Exp Details'!$H$323:$H$325)</f>
        <v>0</v>
      </c>
      <c r="AK97" s="39">
        <f>SUMIF('Exp Details'!$D$323:$D$325,'Function-Grant'!AK$4,'Exp Details'!$H$323:$H$325)</f>
        <v>0</v>
      </c>
      <c r="AL97" s="39">
        <f>SUMIF('Exp Details'!$D$323:$D$325,'Function-Grant'!AL$4,'Exp Details'!$H$323:$H$325)</f>
        <v>0</v>
      </c>
      <c r="AM97" s="39">
        <f>SUMIF('Exp Details'!$D$323:$D$325,'Function-Grant'!AM$4,'Exp Details'!$H$323:$H$325)</f>
        <v>0</v>
      </c>
      <c r="AN97" s="39">
        <f>SUMIF('Exp Details'!$D$323:$D$325,'Function-Grant'!AN$4,'Exp Details'!$H$323:$H$325)</f>
        <v>0</v>
      </c>
      <c r="AO97" s="41"/>
      <c r="AP97" s="59">
        <f t="shared" si="53"/>
        <v>1500</v>
      </c>
      <c r="AQ97" s="41"/>
      <c r="AR97" s="258">
        <f>AP97-'FY21'!S97</f>
        <v>0</v>
      </c>
    </row>
    <row r="98" spans="3:44" s="37" customFormat="1" ht="12" x14ac:dyDescent="0.2">
      <c r="C98" s="199">
        <v>6622</v>
      </c>
      <c r="D98" s="37" t="s">
        <v>36</v>
      </c>
      <c r="E98" s="39">
        <f>SUMIF('Exp Details'!$D$329:$D$331,'Function-Grant'!E$4,'Exp Details'!$H$329:$H$331)</f>
        <v>0</v>
      </c>
      <c r="F98" s="39">
        <f>SUMIF('Exp Details'!$D$329:$D$331,'Function-Grant'!F$4,'Exp Details'!$H$329:$H$331)</f>
        <v>0</v>
      </c>
      <c r="G98" s="39">
        <f>SUMIF('Exp Details'!$D$329:$D$331,'Function-Grant'!G$4,'Exp Details'!$H$329:$H$331)</f>
        <v>0</v>
      </c>
      <c r="H98" s="39">
        <f>SUMIF('Exp Details'!$D$329:$D$331,'Function-Grant'!H$4,'Exp Details'!$H$329:$H$331)</f>
        <v>0</v>
      </c>
      <c r="I98" s="39">
        <f>SUMIF('Exp Details'!$D$329:$D$331,'Function-Grant'!I$4,'Exp Details'!$H$329:$H$331)</f>
        <v>0</v>
      </c>
      <c r="J98" s="39">
        <f>SUMIF('Exp Details'!$D$329:$D$331,'Function-Grant'!J$4,'Exp Details'!$H$329:$H$331)</f>
        <v>0</v>
      </c>
      <c r="K98" s="39">
        <f>SUMIF('Exp Details'!$D$329:$D$331,'Function-Grant'!K$4,'Exp Details'!$H$329:$H$331)</f>
        <v>0</v>
      </c>
      <c r="L98" s="39">
        <f>SUMIF('Exp Details'!$D$329:$D$331,'Function-Grant'!L$4,'Exp Details'!$H$329:$H$331)</f>
        <v>0</v>
      </c>
      <c r="M98" s="39">
        <f>SUMIF('Exp Details'!$D$329:$D$331,'Function-Grant'!M$4,'Exp Details'!$H$329:$H$331)</f>
        <v>0</v>
      </c>
      <c r="N98" s="39">
        <f>SUMIF('Exp Details'!$D$329:$D$331,'Function-Grant'!N$4,'Exp Details'!$H$329:$H$331)</f>
        <v>0</v>
      </c>
      <c r="O98" s="39">
        <f>SUMIF('Exp Details'!$D$329:$D$331,'Function-Grant'!O$4,'Exp Details'!$H$329:$H$331)</f>
        <v>0</v>
      </c>
      <c r="P98" s="39">
        <f>SUMIF('Exp Details'!$D$329:$D$331,'Function-Grant'!P$4,'Exp Details'!$H$329:$H$331)</f>
        <v>0</v>
      </c>
      <c r="Q98" s="39">
        <f>SUMIF('Exp Details'!$D$329:$D$331,'Function-Grant'!Q$4,'Exp Details'!$H$329:$H$331)</f>
        <v>0</v>
      </c>
      <c r="R98" s="39">
        <f>SUMIF('Exp Details'!$D$329:$D$331,'Function-Grant'!R$4,'Exp Details'!$H$329:$H$331)</f>
        <v>0</v>
      </c>
      <c r="S98" s="39">
        <f>SUMIF('Exp Details'!$D$329:$D$331,'Function-Grant'!S$4,'Exp Details'!$H$329:$H$331)</f>
        <v>0</v>
      </c>
      <c r="T98" s="39">
        <f>SUMIF('Exp Details'!$D$329:$D$331,'Function-Grant'!T$4,'Exp Details'!$H$329:$H$331)</f>
        <v>0</v>
      </c>
      <c r="U98" s="370">
        <f>SUMIF('Exp Details'!$D$329:$D$331,'Function-Grant'!U$4,'Exp Details'!$H$329:$H$331)</f>
        <v>0</v>
      </c>
      <c r="V98" s="39">
        <f>SUMIF('Exp Details'!$D$329:$D$331,'Function-Grant'!V$4,'Exp Details'!$H$329:$H$331)</f>
        <v>0</v>
      </c>
      <c r="W98" s="39">
        <f>SUMIF('Exp Details'!$D$329:$D$331,'Function-Grant'!W$4,'Exp Details'!$H$329:$H$331)</f>
        <v>0</v>
      </c>
      <c r="X98" s="39">
        <f>SUMIF('Exp Details'!$D$329:$D$331,'Function-Grant'!X$4,'Exp Details'!$H$329:$H$331)</f>
        <v>0</v>
      </c>
      <c r="Y98" s="39">
        <f>SUMIF('Exp Details'!$D$329:$D$331,'Function-Grant'!Y$4,'Exp Details'!$H$329:$H$331)</f>
        <v>0</v>
      </c>
      <c r="Z98" s="39">
        <f>SUMIF('Exp Details'!$D$329:$D$331,'Function-Grant'!Z$4,'Exp Details'!$H$329:$H$331)</f>
        <v>0</v>
      </c>
      <c r="AA98" s="39">
        <f>SUMIF('Exp Details'!$D$329:$D$331,'Function-Grant'!AA$4,'Exp Details'!$H$329:$H$331)</f>
        <v>0</v>
      </c>
      <c r="AB98" s="39">
        <f>SUMIF('Exp Details'!$D$329:$D$331,'Function-Grant'!AB$4,'Exp Details'!$H$329:$H$331)</f>
        <v>0</v>
      </c>
      <c r="AC98" s="39">
        <f>SUMIF('Exp Details'!$D$329:$D$331,'Function-Grant'!AC$4,'Exp Details'!$H$329:$H$331)</f>
        <v>0</v>
      </c>
      <c r="AD98" s="39">
        <f>SUMIF('Exp Details'!$D$329:$D$331,'Function-Grant'!AD$4,'Exp Details'!$H$329:$H$331)</f>
        <v>0</v>
      </c>
      <c r="AE98" s="39">
        <f>SUMIF('Exp Details'!$D$329:$D$331,'Function-Grant'!AE$4,'Exp Details'!$H$329:$H$331)</f>
        <v>0</v>
      </c>
      <c r="AF98" s="39">
        <f>SUMIF('Exp Details'!$D$329:$D$331,'Function-Grant'!AF$4,'Exp Details'!$H$329:$H$331)</f>
        <v>0</v>
      </c>
      <c r="AG98" s="39">
        <f>SUMIF('Exp Details'!$D$329:$D$331,'Function-Grant'!AG$4,'Exp Details'!$H$329:$H$331)</f>
        <v>0</v>
      </c>
      <c r="AH98" s="39">
        <f>SUMIF('Exp Details'!$D$329:$D$331,'Function-Grant'!AH$4,'Exp Details'!$H$329:$H$331)</f>
        <v>0</v>
      </c>
      <c r="AI98" s="39">
        <f>SUMIF('Exp Details'!$D$329:$D$331,'Function-Grant'!AI$4,'Exp Details'!$H$329:$H$331)</f>
        <v>0</v>
      </c>
      <c r="AJ98" s="39">
        <f>SUMIF('Exp Details'!$D$329:$D$331,'Function-Grant'!AJ$4,'Exp Details'!$H$329:$H$331)</f>
        <v>0</v>
      </c>
      <c r="AK98" s="39">
        <f>SUMIF('Exp Details'!$D$329:$D$331,'Function-Grant'!AK$4,'Exp Details'!$H$329:$H$331)</f>
        <v>0</v>
      </c>
      <c r="AL98" s="39">
        <f>SUMIF('Exp Details'!$D$329:$D$331,'Function-Grant'!AL$4,'Exp Details'!$H$329:$H$331)</f>
        <v>0</v>
      </c>
      <c r="AM98" s="39">
        <f>SUMIF('Exp Details'!$D$329:$D$331,'Function-Grant'!AM$4,'Exp Details'!$H$329:$H$331)</f>
        <v>0</v>
      </c>
      <c r="AN98" s="39">
        <f>SUMIF('Exp Details'!$D$329:$D$331,'Function-Grant'!AN$4,'Exp Details'!$H$329:$H$331)</f>
        <v>0</v>
      </c>
      <c r="AO98" s="41"/>
      <c r="AP98" s="59">
        <f t="shared" si="53"/>
        <v>0</v>
      </c>
      <c r="AQ98" s="41"/>
      <c r="AR98" s="258">
        <f>AP98-'FY21'!S98</f>
        <v>0</v>
      </c>
    </row>
    <row r="99" spans="3:44" s="37" customFormat="1" ht="12" x14ac:dyDescent="0.2">
      <c r="C99" s="199">
        <v>6641</v>
      </c>
      <c r="D99" s="37" t="s">
        <v>37</v>
      </c>
      <c r="E99" s="39">
        <f>SUMIF('Exp Details'!$D$335:$D$338,'Function-Grant'!E$4,'Exp Details'!$H$335:$H$338)</f>
        <v>0</v>
      </c>
      <c r="F99" s="370">
        <f>SUMIF('Exp Details'!$D$335:$D$338,'Function-Grant'!F$4,'Exp Details'!$H$335:$H$338)</f>
        <v>0</v>
      </c>
      <c r="G99" s="39">
        <f>SUMIF('Exp Details'!$D$335:$D$338,'Function-Grant'!G$4,'Exp Details'!$H$335:$H$338)</f>
        <v>0</v>
      </c>
      <c r="H99" s="39">
        <f>SUMIF('Exp Details'!$D$335:$D$338,'Function-Grant'!H$4,'Exp Details'!$H$335:$H$338)</f>
        <v>0</v>
      </c>
      <c r="I99" s="39">
        <f>SUMIF('Exp Details'!$D$335:$D$338,'Function-Grant'!I$4,'Exp Details'!$H$335:$H$338)</f>
        <v>0</v>
      </c>
      <c r="J99" s="39">
        <f>SUMIF('Exp Details'!$D$335:$D$338,'Function-Grant'!J$4,'Exp Details'!$H$335:$H$338)</f>
        <v>0</v>
      </c>
      <c r="K99" s="39">
        <f>SUMIF('Exp Details'!$D$335:$D$338,'Function-Grant'!K$4,'Exp Details'!$H$335:$H$338)</f>
        <v>0</v>
      </c>
      <c r="L99" s="39">
        <f>SUMIF('Exp Details'!$D$335:$D$338,'Function-Grant'!L$4,'Exp Details'!$H$335:$H$338)</f>
        <v>0</v>
      </c>
      <c r="M99" s="39">
        <f>SUMIF('Exp Details'!$D$335:$D$338,'Function-Grant'!M$4,'Exp Details'!$H$335:$H$338)</f>
        <v>0</v>
      </c>
      <c r="N99" s="39">
        <f>SUMIF('Exp Details'!$D$335:$D$338,'Function-Grant'!N$4,'Exp Details'!$H$335:$H$338)</f>
        <v>0</v>
      </c>
      <c r="O99" s="39">
        <f>SUMIF('Exp Details'!$D$335:$D$338,'Function-Grant'!O$4,'Exp Details'!$H$335:$H$338)</f>
        <v>0</v>
      </c>
      <c r="P99" s="39">
        <f>SUMIF('Exp Details'!$D$335:$D$338,'Function-Grant'!P$4,'Exp Details'!$H$335:$H$338)</f>
        <v>0</v>
      </c>
      <c r="Q99" s="39">
        <f>SUMIF('Exp Details'!$D$335:$D$338,'Function-Grant'!Q$4,'Exp Details'!$H$335:$H$338)</f>
        <v>0</v>
      </c>
      <c r="R99" s="39">
        <f>SUMIF('Exp Details'!$D$335:$D$338,'Function-Grant'!R$4,'Exp Details'!$H$335:$H$338)</f>
        <v>0</v>
      </c>
      <c r="S99" s="39">
        <f>SUMIF('Exp Details'!$D$335:$D$338,'Function-Grant'!S$4,'Exp Details'!$H$335:$H$338)</f>
        <v>0</v>
      </c>
      <c r="T99" s="39">
        <f>SUMIF('Exp Details'!$D$335:$D$338,'Function-Grant'!T$4,'Exp Details'!$H$335:$H$338)</f>
        <v>0</v>
      </c>
      <c r="U99" s="39">
        <f>SUMIF('Exp Details'!$D$335:$D$338,'Function-Grant'!U$4,'Exp Details'!$H$335:$H$338)</f>
        <v>0</v>
      </c>
      <c r="V99" s="39">
        <f>SUMIF('Exp Details'!$D$335:$D$338,'Function-Grant'!V$4,'Exp Details'!$H$335:$H$338)</f>
        <v>0</v>
      </c>
      <c r="W99" s="39">
        <f>SUMIF('Exp Details'!$D$335:$D$338,'Function-Grant'!W$4,'Exp Details'!$H$335:$H$338)</f>
        <v>0</v>
      </c>
      <c r="X99" s="39">
        <f>SUMIF('Exp Details'!$D$335:$D$338,'Function-Grant'!X$4,'Exp Details'!$H$335:$H$338)</f>
        <v>0</v>
      </c>
      <c r="Y99" s="39">
        <f>SUMIF('Exp Details'!$D$335:$D$338,'Function-Grant'!Y$4,'Exp Details'!$H$335:$H$338)</f>
        <v>0</v>
      </c>
      <c r="Z99" s="39">
        <f>SUMIF('Exp Details'!$D$335:$D$338,'Function-Grant'!Z$4,'Exp Details'!$H$335:$H$338)</f>
        <v>0</v>
      </c>
      <c r="AA99" s="39">
        <f>SUMIF('Exp Details'!$D$335:$D$338,'Function-Grant'!AA$4,'Exp Details'!$H$335:$H$338)</f>
        <v>0</v>
      </c>
      <c r="AB99" s="39">
        <f>SUMIF('Exp Details'!$D$335:$D$338,'Function-Grant'!AB$4,'Exp Details'!$H$335:$H$338)</f>
        <v>0</v>
      </c>
      <c r="AC99" s="39">
        <f>SUMIF('Exp Details'!$D$335:$D$338,'Function-Grant'!AC$4,'Exp Details'!$H$335:$H$338)</f>
        <v>0</v>
      </c>
      <c r="AD99" s="39">
        <f>SUMIF('Exp Details'!$D$335:$D$338,'Function-Grant'!AD$4,'Exp Details'!$H$335:$H$338)</f>
        <v>0</v>
      </c>
      <c r="AE99" s="39">
        <f>SUMIF('Exp Details'!$D$335:$D$338,'Function-Grant'!AE$4,'Exp Details'!$H$335:$H$338)</f>
        <v>0</v>
      </c>
      <c r="AF99" s="39">
        <f>SUMIF('Exp Details'!$D$335:$D$338,'Function-Grant'!AF$4,'Exp Details'!$H$335:$H$338)</f>
        <v>0</v>
      </c>
      <c r="AG99" s="39">
        <f>SUMIF('Exp Details'!$D$335:$D$338,'Function-Grant'!AG$4,'Exp Details'!$H$335:$H$338)</f>
        <v>0</v>
      </c>
      <c r="AH99" s="39">
        <f>SUMIF('Exp Details'!$D$335:$D$338,'Function-Grant'!AH$4,'Exp Details'!$H$335:$H$338)</f>
        <v>0</v>
      </c>
      <c r="AI99" s="39">
        <f>SUMIF('Exp Details'!$D$335:$D$338,'Function-Grant'!AI$4,'Exp Details'!$H$335:$H$338)</f>
        <v>0</v>
      </c>
      <c r="AJ99" s="39">
        <f>SUMIF('Exp Details'!$D$335:$D$338,'Function-Grant'!AJ$4,'Exp Details'!$H$335:$H$338)</f>
        <v>0</v>
      </c>
      <c r="AK99" s="39">
        <f>SUMIF('Exp Details'!$D$335:$D$338,'Function-Grant'!AK$4,'Exp Details'!$H$335:$H$338)</f>
        <v>0</v>
      </c>
      <c r="AL99" s="39">
        <f>SUMIF('Exp Details'!$D$335:$D$338,'Function-Grant'!AL$4,'Exp Details'!$H$335:$H$338)</f>
        <v>0</v>
      </c>
      <c r="AM99" s="39">
        <f>SUMIF('Exp Details'!$D$335:$D$338,'Function-Grant'!AM$4,'Exp Details'!$H$335:$H$338)</f>
        <v>0</v>
      </c>
      <c r="AN99" s="39">
        <f>SUMIF('Exp Details'!$D$335:$D$338,'Function-Grant'!AN$4,'Exp Details'!$H$335:$H$338)</f>
        <v>0</v>
      </c>
      <c r="AO99" s="41"/>
      <c r="AP99" s="59">
        <f t="shared" si="53"/>
        <v>0</v>
      </c>
      <c r="AQ99" s="41"/>
      <c r="AR99" s="258">
        <f>AP99-'FY21'!S99</f>
        <v>0</v>
      </c>
    </row>
    <row r="100" spans="3:44" s="37" customFormat="1" ht="12" x14ac:dyDescent="0.2">
      <c r="C100" s="199">
        <v>6642</v>
      </c>
      <c r="D100" s="37" t="s">
        <v>38</v>
      </c>
      <c r="E100" s="39">
        <f>SUMIF('Exp Details'!$D$342:$D$345,'Function-Grant'!E$4,'Exp Details'!$H$342:$H$345)</f>
        <v>0</v>
      </c>
      <c r="F100" s="370">
        <f>SUMIF('Exp Details'!$D$342:$D$345,'Function-Grant'!F$4,'Exp Details'!$H$342:$H$345)</f>
        <v>0</v>
      </c>
      <c r="G100" s="39">
        <f>SUMIF('Exp Details'!$D$342:$D$345,'Function-Grant'!G$4,'Exp Details'!$H$342:$H$345)</f>
        <v>0</v>
      </c>
      <c r="H100" s="39">
        <f>SUMIF('Exp Details'!$D$342:$D$345,'Function-Grant'!H$4,'Exp Details'!$H$342:$H$345)</f>
        <v>0</v>
      </c>
      <c r="I100" s="39">
        <f>SUMIF('Exp Details'!$D$342:$D$345,'Function-Grant'!I$4,'Exp Details'!$H$342:$H$345)</f>
        <v>0</v>
      </c>
      <c r="J100" s="39">
        <f>SUMIF('Exp Details'!$D$342:$D$345,'Function-Grant'!J$4,'Exp Details'!$H$342:$H$345)</f>
        <v>0</v>
      </c>
      <c r="K100" s="39">
        <f>SUMIF('Exp Details'!$D$342:$D$345,'Function-Grant'!K$4,'Exp Details'!$H$342:$H$345)</f>
        <v>0</v>
      </c>
      <c r="L100" s="39">
        <f>SUMIF('Exp Details'!$D$342:$D$345,'Function-Grant'!L$4,'Exp Details'!$H$342:$H$345)</f>
        <v>0</v>
      </c>
      <c r="M100" s="39">
        <f>SUMIF('Exp Details'!$D$342:$D$345,'Function-Grant'!M$4,'Exp Details'!$H$342:$H$345)</f>
        <v>0</v>
      </c>
      <c r="N100" s="39">
        <f>SUMIF('Exp Details'!$D$342:$D$345,'Function-Grant'!N$4,'Exp Details'!$H$342:$H$345)</f>
        <v>0</v>
      </c>
      <c r="O100" s="39">
        <f>SUMIF('Exp Details'!$D$342:$D$345,'Function-Grant'!O$4,'Exp Details'!$H$342:$H$345)</f>
        <v>0</v>
      </c>
      <c r="P100" s="39">
        <f>SUMIF('Exp Details'!$D$342:$D$345,'Function-Grant'!P$4,'Exp Details'!$H$342:$H$345)</f>
        <v>0</v>
      </c>
      <c r="Q100" s="39">
        <f>SUMIF('Exp Details'!$D$342:$D$345,'Function-Grant'!Q$4,'Exp Details'!$H$342:$H$345)</f>
        <v>0</v>
      </c>
      <c r="R100" s="39">
        <f>SUMIF('Exp Details'!$D$342:$D$345,'Function-Grant'!R$4,'Exp Details'!$H$342:$H$345)</f>
        <v>0</v>
      </c>
      <c r="S100" s="39">
        <f>SUMIF('Exp Details'!$D$342:$D$345,'Function-Grant'!S$4,'Exp Details'!$H$342:$H$345)</f>
        <v>0</v>
      </c>
      <c r="T100" s="39">
        <f>SUMIF('Exp Details'!$D$342:$D$345,'Function-Grant'!T$4,'Exp Details'!$H$342:$H$345)</f>
        <v>0</v>
      </c>
      <c r="U100" s="39">
        <f>SUMIF('Exp Details'!$D$342:$D$345,'Function-Grant'!U$4,'Exp Details'!$H$342:$H$345)</f>
        <v>0</v>
      </c>
      <c r="V100" s="39">
        <f>SUMIF('Exp Details'!$D$342:$D$345,'Function-Grant'!V$4,'Exp Details'!$H$342:$H$345)</f>
        <v>0</v>
      </c>
      <c r="W100" s="39">
        <f>SUMIF('Exp Details'!$D$342:$D$345,'Function-Grant'!W$4,'Exp Details'!$H$342:$H$345)</f>
        <v>0</v>
      </c>
      <c r="X100" s="39">
        <f>SUMIF('Exp Details'!$D$342:$D$345,'Function-Grant'!X$4,'Exp Details'!$H$342:$H$345)</f>
        <v>0</v>
      </c>
      <c r="Y100" s="39">
        <f>SUMIF('Exp Details'!$D$342:$D$345,'Function-Grant'!Y$4,'Exp Details'!$H$342:$H$345)</f>
        <v>0</v>
      </c>
      <c r="Z100" s="39">
        <f>SUMIF('Exp Details'!$D$342:$D$345,'Function-Grant'!Z$4,'Exp Details'!$H$342:$H$345)</f>
        <v>0</v>
      </c>
      <c r="AA100" s="39">
        <f>SUMIF('Exp Details'!$D$342:$D$345,'Function-Grant'!AA$4,'Exp Details'!$H$342:$H$345)</f>
        <v>0</v>
      </c>
      <c r="AB100" s="39">
        <f>SUMIF('Exp Details'!$D$342:$D$345,'Function-Grant'!AB$4,'Exp Details'!$H$342:$H$345)</f>
        <v>0</v>
      </c>
      <c r="AC100" s="39">
        <f>SUMIF('Exp Details'!$D$342:$D$345,'Function-Grant'!AC$4,'Exp Details'!$H$342:$H$345)</f>
        <v>0</v>
      </c>
      <c r="AD100" s="39">
        <f>SUMIF('Exp Details'!$D$342:$D$345,'Function-Grant'!AD$4,'Exp Details'!$H$342:$H$345)</f>
        <v>0</v>
      </c>
      <c r="AE100" s="39">
        <f>SUMIF('Exp Details'!$D$342:$D$345,'Function-Grant'!AE$4,'Exp Details'!$H$342:$H$345)</f>
        <v>0</v>
      </c>
      <c r="AF100" s="39">
        <f>SUMIF('Exp Details'!$D$342:$D$345,'Function-Grant'!AF$4,'Exp Details'!$H$342:$H$345)</f>
        <v>0</v>
      </c>
      <c r="AG100" s="39">
        <f>SUMIF('Exp Details'!$D$342:$D$345,'Function-Grant'!AG$4,'Exp Details'!$H$342:$H$345)</f>
        <v>0</v>
      </c>
      <c r="AH100" s="39">
        <f>SUMIF('Exp Details'!$D$342:$D$345,'Function-Grant'!AH$4,'Exp Details'!$H$342:$H$345)</f>
        <v>0</v>
      </c>
      <c r="AI100" s="39">
        <f>SUMIF('Exp Details'!$D$342:$D$345,'Function-Grant'!AI$4,'Exp Details'!$H$342:$H$345)</f>
        <v>0</v>
      </c>
      <c r="AJ100" s="39">
        <f>SUMIF('Exp Details'!$D$342:$D$345,'Function-Grant'!AJ$4,'Exp Details'!$H$342:$H$345)</f>
        <v>0</v>
      </c>
      <c r="AK100" s="39">
        <f>SUMIF('Exp Details'!$D$342:$D$345,'Function-Grant'!AK$4,'Exp Details'!$H$342:$H$345)</f>
        <v>0</v>
      </c>
      <c r="AL100" s="39">
        <f>SUMIF('Exp Details'!$D$342:$D$345,'Function-Grant'!AL$4,'Exp Details'!$H$342:$H$345)</f>
        <v>0</v>
      </c>
      <c r="AM100" s="39">
        <f>SUMIF('Exp Details'!$D$342:$D$345,'Function-Grant'!AM$4,'Exp Details'!$H$342:$H$345)</f>
        <v>0</v>
      </c>
      <c r="AN100" s="39">
        <f>SUMIF('Exp Details'!$D$342:$D$345,'Function-Grant'!AN$4,'Exp Details'!$H$342:$H$345)</f>
        <v>0</v>
      </c>
      <c r="AO100" s="41"/>
      <c r="AP100" s="59">
        <f t="shared" si="53"/>
        <v>0</v>
      </c>
      <c r="AQ100" s="41"/>
      <c r="AR100" s="258">
        <f>AP100-'FY21'!S100</f>
        <v>0</v>
      </c>
    </row>
    <row r="101" spans="3:44" s="37" customFormat="1" ht="12" x14ac:dyDescent="0.2">
      <c r="C101" s="199">
        <v>6651</v>
      </c>
      <c r="D101" s="37" t="s">
        <v>39</v>
      </c>
      <c r="E101" s="39">
        <f>SUMIF('Exp Details'!$D$349:$D$371,'Function-Grant'!E$4,'Exp Details'!$H$349:$H$371)</f>
        <v>0</v>
      </c>
      <c r="F101" s="39">
        <f>SUMIF('Exp Details'!$D$349:$D$371,'Function-Grant'!F$4,'Exp Details'!$H$349:$H$371)</f>
        <v>0</v>
      </c>
      <c r="G101" s="39">
        <f>SUMIF('Exp Details'!$D$349:$D$371,'Function-Grant'!G$4,'Exp Details'!$H$349:$H$371)</f>
        <v>0</v>
      </c>
      <c r="H101" s="39">
        <f>SUMIF('Exp Details'!$D$349:$D$371,'Function-Grant'!H$4,'Exp Details'!$H$349:$H$371)</f>
        <v>0</v>
      </c>
      <c r="I101" s="39">
        <f>SUMIF('Exp Details'!$D$349:$D$371,'Function-Grant'!I$4,'Exp Details'!$H$349:$H$371)</f>
        <v>0</v>
      </c>
      <c r="J101" s="39">
        <f>SUMIF('Exp Details'!$D$349:$D$371,'Function-Grant'!J$4,'Exp Details'!$H$349:$H$371)</f>
        <v>0</v>
      </c>
      <c r="K101" s="39">
        <f>SUMIF('Exp Details'!$D$349:$D$371,'Function-Grant'!K$4,'Exp Details'!$H$349:$H$371)</f>
        <v>0</v>
      </c>
      <c r="L101" s="39">
        <f>SUMIF('Exp Details'!$D$349:$D$371,'Function-Grant'!L$4,'Exp Details'!$H$349:$H$371)</f>
        <v>0</v>
      </c>
      <c r="M101" s="39">
        <f>SUMIF('Exp Details'!$D$349:$D$371,'Function-Grant'!M$4,'Exp Details'!$H$349:$H$371)</f>
        <v>0</v>
      </c>
      <c r="N101" s="39">
        <f>SUMIF('Exp Details'!$D$349:$D$371,'Function-Grant'!N$4,'Exp Details'!$H$349:$H$371)</f>
        <v>0</v>
      </c>
      <c r="O101" s="39">
        <f>SUMIF('Exp Details'!$D$349:$D$371,'Function-Grant'!O$4,'Exp Details'!$H$349:$H$371)</f>
        <v>0</v>
      </c>
      <c r="P101" s="39">
        <f>SUMIF('Exp Details'!$D$349:$D$371,'Function-Grant'!P$4,'Exp Details'!$H$349:$H$371)</f>
        <v>0</v>
      </c>
      <c r="Q101" s="39">
        <f>SUMIF('Exp Details'!$D$349:$D$371,'Function-Grant'!Q$4,'Exp Details'!$H$349:$H$371)</f>
        <v>0</v>
      </c>
      <c r="R101" s="39">
        <f>SUMIF('Exp Details'!$D$349:$D$371,'Function-Grant'!R$4,'Exp Details'!$H$349:$H$371)</f>
        <v>0</v>
      </c>
      <c r="S101" s="370">
        <f>SUMIF('Exp Details'!$D$349:$D$371,'Function-Grant'!S$4,'Exp Details'!$H$349:$H$371)</f>
        <v>45103</v>
      </c>
      <c r="T101" s="39">
        <f>SUMIF('Exp Details'!$D$349:$D$371,'Function-Grant'!T$4,'Exp Details'!$H$349:$H$371)</f>
        <v>0</v>
      </c>
      <c r="U101" s="39">
        <f>SUMIF('Exp Details'!$D$349:$D$371,'Function-Grant'!U$4,'Exp Details'!$H$349:$H$371)</f>
        <v>0</v>
      </c>
      <c r="V101" s="39">
        <f>SUMIF('Exp Details'!$D$349:$D$371,'Function-Grant'!V$4,'Exp Details'!$H$349:$H$371)</f>
        <v>0</v>
      </c>
      <c r="W101" s="39">
        <f>SUMIF('Exp Details'!$D$349:$D$371,'Function-Grant'!W$4,'Exp Details'!$H$349:$H$371)</f>
        <v>0</v>
      </c>
      <c r="X101" s="39">
        <f>SUMIF('Exp Details'!$D$349:$D$371,'Function-Grant'!X$4,'Exp Details'!$H$349:$H$371)</f>
        <v>0</v>
      </c>
      <c r="Y101" s="39">
        <f>SUMIF('Exp Details'!$D$349:$D$371,'Function-Grant'!Y$4,'Exp Details'!$H$349:$H$371)</f>
        <v>0</v>
      </c>
      <c r="Z101" s="39">
        <f>SUMIF('Exp Details'!$D$349:$D$371,'Function-Grant'!Z$4,'Exp Details'!$H$349:$H$371)</f>
        <v>0</v>
      </c>
      <c r="AA101" s="39">
        <f>SUMIF('Exp Details'!$D$349:$D$371,'Function-Grant'!AA$4,'Exp Details'!$H$349:$H$371)</f>
        <v>0</v>
      </c>
      <c r="AB101" s="39">
        <f>SUMIF('Exp Details'!$D$349:$D$371,'Function-Grant'!AB$4,'Exp Details'!$H$349:$H$371)</f>
        <v>0</v>
      </c>
      <c r="AC101" s="39">
        <f>SUMIF('Exp Details'!$D$349:$D$371,'Function-Grant'!AC$4,'Exp Details'!$H$349:$H$371)</f>
        <v>0</v>
      </c>
      <c r="AD101" s="39">
        <f>SUMIF('Exp Details'!$D$349:$D$371,'Function-Grant'!AD$4,'Exp Details'!$H$349:$H$371)</f>
        <v>0</v>
      </c>
      <c r="AE101" s="39">
        <f>SUMIF('Exp Details'!$D$349:$D$371,'Function-Grant'!AE$4,'Exp Details'!$H$349:$H$371)</f>
        <v>0</v>
      </c>
      <c r="AF101" s="39">
        <f>SUMIF('Exp Details'!$D$349:$D$371,'Function-Grant'!AF$4,'Exp Details'!$H$349:$H$371)</f>
        <v>0</v>
      </c>
      <c r="AG101" s="39">
        <f>SUMIF('Exp Details'!$D$349:$D$371,'Function-Grant'!AG$4,'Exp Details'!$H$349:$H$371)</f>
        <v>0</v>
      </c>
      <c r="AH101" s="39">
        <f>SUMIF('Exp Details'!$D$349:$D$371,'Function-Grant'!AH$4,'Exp Details'!$H$349:$H$371)</f>
        <v>0</v>
      </c>
      <c r="AI101" s="39">
        <f>SUMIF('Exp Details'!$D$349:$D$371,'Function-Grant'!AI$4,'Exp Details'!$H$349:$H$371)</f>
        <v>0</v>
      </c>
      <c r="AJ101" s="39">
        <f>SUMIF('Exp Details'!$D$349:$D$371,'Function-Grant'!AJ$4,'Exp Details'!$H$349:$H$371)</f>
        <v>0</v>
      </c>
      <c r="AK101" s="39">
        <f>SUMIF('Exp Details'!$D$349:$D$371,'Function-Grant'!AK$4,'Exp Details'!$H$349:$H$371)</f>
        <v>0</v>
      </c>
      <c r="AL101" s="39">
        <f>SUMIF('Exp Details'!$D$349:$D$371,'Function-Grant'!AL$4,'Exp Details'!$H$349:$H$371)</f>
        <v>0</v>
      </c>
      <c r="AM101" s="39">
        <f>SUMIF('Exp Details'!$D$349:$D$371,'Function-Grant'!AM$4,'Exp Details'!$H$349:$H$371)</f>
        <v>0</v>
      </c>
      <c r="AN101" s="39">
        <f>SUMIF('Exp Details'!$D$349:$D$371,'Function-Grant'!AN$4,'Exp Details'!$H$349:$H$371)</f>
        <v>0</v>
      </c>
      <c r="AO101" s="41"/>
      <c r="AP101" s="59">
        <f t="shared" si="53"/>
        <v>45103</v>
      </c>
      <c r="AQ101" s="41"/>
      <c r="AR101" s="258">
        <f>AP101-'FY21'!S101</f>
        <v>0</v>
      </c>
    </row>
    <row r="102" spans="3:44" s="37" customFormat="1" ht="12" x14ac:dyDescent="0.2">
      <c r="C102" s="199">
        <v>6652</v>
      </c>
      <c r="D102" s="37" t="s">
        <v>40</v>
      </c>
      <c r="E102" s="39">
        <f>SUMIF('Exp Details'!$D$375:$D$379,'Function-Grant'!E$4,'Exp Details'!$H$375:$H$379)</f>
        <v>0</v>
      </c>
      <c r="F102" s="39">
        <f>SUMIF('Exp Details'!$D$375:$D$379,'Function-Grant'!F$4,'Exp Details'!$H$375:$H$379)</f>
        <v>0</v>
      </c>
      <c r="G102" s="39">
        <f>SUMIF('Exp Details'!$D$375:$D$379,'Function-Grant'!G$4,'Exp Details'!$H$375:$H$379)</f>
        <v>0</v>
      </c>
      <c r="H102" s="39">
        <f>SUMIF('Exp Details'!$D$375:$D$379,'Function-Grant'!H$4,'Exp Details'!$H$375:$H$379)</f>
        <v>0</v>
      </c>
      <c r="I102" s="39">
        <f>SUMIF('Exp Details'!$D$375:$D$379,'Function-Grant'!I$4,'Exp Details'!$H$375:$H$379)</f>
        <v>0</v>
      </c>
      <c r="J102" s="39">
        <f>SUMIF('Exp Details'!$D$375:$D$379,'Function-Grant'!J$4,'Exp Details'!$H$375:$H$379)</f>
        <v>0</v>
      </c>
      <c r="K102" s="39">
        <f>SUMIF('Exp Details'!$D$375:$D$379,'Function-Grant'!K$4,'Exp Details'!$H$375:$H$379)</f>
        <v>0</v>
      </c>
      <c r="L102" s="39">
        <f>SUMIF('Exp Details'!$D$375:$D$379,'Function-Grant'!L$4,'Exp Details'!$H$375:$H$379)</f>
        <v>0</v>
      </c>
      <c r="M102" s="39">
        <f>SUMIF('Exp Details'!$D$375:$D$379,'Function-Grant'!M$4,'Exp Details'!$H$375:$H$379)</f>
        <v>0</v>
      </c>
      <c r="N102" s="39">
        <f>SUMIF('Exp Details'!$D$375:$D$379,'Function-Grant'!N$4,'Exp Details'!$H$375:$H$379)</f>
        <v>0</v>
      </c>
      <c r="O102" s="39">
        <f>SUMIF('Exp Details'!$D$375:$D$379,'Function-Grant'!O$4,'Exp Details'!$H$375:$H$379)</f>
        <v>0</v>
      </c>
      <c r="P102" s="39">
        <f>SUMIF('Exp Details'!$D$375:$D$379,'Function-Grant'!P$4,'Exp Details'!$H$375:$H$379)</f>
        <v>0</v>
      </c>
      <c r="Q102" s="39">
        <f>SUMIF('Exp Details'!$D$375:$D$379,'Function-Grant'!Q$4,'Exp Details'!$H$375:$H$379)</f>
        <v>0</v>
      </c>
      <c r="R102" s="39">
        <f>SUMIF('Exp Details'!$D$375:$D$379,'Function-Grant'!R$4,'Exp Details'!$H$375:$H$379)</f>
        <v>0</v>
      </c>
      <c r="S102" s="39">
        <f>SUMIF('Exp Details'!$D$375:$D$379,'Function-Grant'!S$4,'Exp Details'!$H$375:$H$379)</f>
        <v>0</v>
      </c>
      <c r="T102" s="39">
        <f>SUMIF('Exp Details'!$D$375:$D$379,'Function-Grant'!T$4,'Exp Details'!$H$375:$H$379)</f>
        <v>0</v>
      </c>
      <c r="U102" s="39">
        <f>SUMIF('Exp Details'!$D$375:$D$379,'Function-Grant'!U$4,'Exp Details'!$H$375:$H$379)</f>
        <v>0</v>
      </c>
      <c r="V102" s="39">
        <f>SUMIF('Exp Details'!$D$375:$D$379,'Function-Grant'!V$4,'Exp Details'!$H$375:$H$379)</f>
        <v>0</v>
      </c>
      <c r="W102" s="39">
        <f>SUMIF('Exp Details'!$D$375:$D$379,'Function-Grant'!W$4,'Exp Details'!$H$375:$H$379)</f>
        <v>0</v>
      </c>
      <c r="X102" s="39">
        <f>SUMIF('Exp Details'!$D$375:$D$379,'Function-Grant'!X$4,'Exp Details'!$H$375:$H$379)</f>
        <v>0</v>
      </c>
      <c r="Y102" s="39">
        <f>SUMIF('Exp Details'!$D$375:$D$379,'Function-Grant'!Y$4,'Exp Details'!$H$375:$H$379)</f>
        <v>0</v>
      </c>
      <c r="Z102" s="39">
        <f>SUMIF('Exp Details'!$D$375:$D$379,'Function-Grant'!Z$4,'Exp Details'!$H$375:$H$379)</f>
        <v>0</v>
      </c>
      <c r="AA102" s="39">
        <f>SUMIF('Exp Details'!$D$375:$D$379,'Function-Grant'!AA$4,'Exp Details'!$H$375:$H$379)</f>
        <v>0</v>
      </c>
      <c r="AB102" s="39">
        <f>SUMIF('Exp Details'!$D$375:$D$379,'Function-Grant'!AB$4,'Exp Details'!$H$375:$H$379)</f>
        <v>0</v>
      </c>
      <c r="AC102" s="39">
        <f>SUMIF('Exp Details'!$D$375:$D$379,'Function-Grant'!AC$4,'Exp Details'!$H$375:$H$379)</f>
        <v>0</v>
      </c>
      <c r="AD102" s="39">
        <f>SUMIF('Exp Details'!$D$375:$D$379,'Function-Grant'!AD$4,'Exp Details'!$H$375:$H$379)</f>
        <v>0</v>
      </c>
      <c r="AE102" s="39">
        <f>SUMIF('Exp Details'!$D$375:$D$379,'Function-Grant'!AE$4,'Exp Details'!$H$375:$H$379)</f>
        <v>0</v>
      </c>
      <c r="AF102" s="39">
        <f>SUMIF('Exp Details'!$D$375:$D$379,'Function-Grant'!AF$4,'Exp Details'!$H$375:$H$379)</f>
        <v>0</v>
      </c>
      <c r="AG102" s="39">
        <f>SUMIF('Exp Details'!$D$375:$D$379,'Function-Grant'!AG$4,'Exp Details'!$H$375:$H$379)</f>
        <v>0</v>
      </c>
      <c r="AH102" s="39">
        <f>SUMIF('Exp Details'!$D$375:$D$379,'Function-Grant'!AH$4,'Exp Details'!$H$375:$H$379)</f>
        <v>0</v>
      </c>
      <c r="AI102" s="39">
        <f>SUMIF('Exp Details'!$D$375:$D$379,'Function-Grant'!AI$4,'Exp Details'!$H$375:$H$379)</f>
        <v>0</v>
      </c>
      <c r="AJ102" s="39">
        <f>SUMIF('Exp Details'!$D$375:$D$379,'Function-Grant'!AJ$4,'Exp Details'!$H$375:$H$379)</f>
        <v>0</v>
      </c>
      <c r="AK102" s="39">
        <f>SUMIF('Exp Details'!$D$375:$D$379,'Function-Grant'!AK$4,'Exp Details'!$H$375:$H$379)</f>
        <v>0</v>
      </c>
      <c r="AL102" s="39">
        <f>SUMIF('Exp Details'!$D$375:$D$379,'Function-Grant'!AL$4,'Exp Details'!$H$375:$H$379)</f>
        <v>0</v>
      </c>
      <c r="AM102" s="39">
        <f>SUMIF('Exp Details'!$D$375:$D$379,'Function-Grant'!AM$4,'Exp Details'!$H$375:$H$379)</f>
        <v>0</v>
      </c>
      <c r="AN102" s="39">
        <f>SUMIF('Exp Details'!$D$375:$D$379,'Function-Grant'!AN$4,'Exp Details'!$H$375:$H$379)</f>
        <v>0</v>
      </c>
      <c r="AO102" s="41"/>
      <c r="AP102" s="59">
        <f t="shared" si="53"/>
        <v>0</v>
      </c>
      <c r="AQ102" s="41"/>
      <c r="AR102" s="258">
        <f>AP102-'FY21'!S102</f>
        <v>0</v>
      </c>
    </row>
    <row r="103" spans="3:44" s="37" customFormat="1" ht="12" x14ac:dyDescent="0.2">
      <c r="C103" s="38"/>
      <c r="E103" s="50">
        <f t="shared" ref="E103:AN103" si="54">SUBTOTAL(9,E96:E102)</f>
        <v>0</v>
      </c>
      <c r="F103" s="50">
        <f>SUBTOTAL(9,F96:F102)</f>
        <v>0</v>
      </c>
      <c r="G103" s="50">
        <f>SUBTOTAL(9,G96:G102)</f>
        <v>0</v>
      </c>
      <c r="H103" s="50">
        <f t="shared" si="54"/>
        <v>0</v>
      </c>
      <c r="I103" s="50">
        <f t="shared" si="54"/>
        <v>0</v>
      </c>
      <c r="J103" s="50">
        <f t="shared" si="54"/>
        <v>0</v>
      </c>
      <c r="K103" s="50">
        <f t="shared" si="54"/>
        <v>0</v>
      </c>
      <c r="L103" s="50">
        <f t="shared" si="54"/>
        <v>280</v>
      </c>
      <c r="M103" s="50">
        <f t="shared" si="54"/>
        <v>3400</v>
      </c>
      <c r="N103" s="50">
        <f t="shared" si="54"/>
        <v>4200</v>
      </c>
      <c r="O103" s="50">
        <f t="shared" si="54"/>
        <v>6750</v>
      </c>
      <c r="P103" s="50">
        <f t="shared" ref="P103" si="55">SUBTOTAL(9,P96:P102)</f>
        <v>0</v>
      </c>
      <c r="Q103" s="50">
        <f t="shared" si="54"/>
        <v>0</v>
      </c>
      <c r="R103" s="50">
        <f t="shared" ref="R103:AG103" si="56">SUBTOTAL(9,R96:R102)</f>
        <v>0</v>
      </c>
      <c r="S103" s="50">
        <f t="shared" si="56"/>
        <v>45103</v>
      </c>
      <c r="T103" s="50">
        <f t="shared" si="56"/>
        <v>0</v>
      </c>
      <c r="U103" s="50">
        <f t="shared" si="56"/>
        <v>0</v>
      </c>
      <c r="V103" s="50">
        <f t="shared" si="56"/>
        <v>0</v>
      </c>
      <c r="W103" s="50">
        <f t="shared" si="56"/>
        <v>0</v>
      </c>
      <c r="X103" s="50">
        <f t="shared" si="56"/>
        <v>0</v>
      </c>
      <c r="Y103" s="50">
        <f t="shared" si="56"/>
        <v>0</v>
      </c>
      <c r="Z103" s="50">
        <f t="shared" si="56"/>
        <v>0</v>
      </c>
      <c r="AA103" s="50">
        <f t="shared" si="56"/>
        <v>0</v>
      </c>
      <c r="AB103" s="50">
        <f t="shared" si="56"/>
        <v>0</v>
      </c>
      <c r="AC103" s="50">
        <f t="shared" si="56"/>
        <v>0</v>
      </c>
      <c r="AD103" s="50">
        <f t="shared" si="56"/>
        <v>0</v>
      </c>
      <c r="AE103" s="50">
        <f t="shared" si="56"/>
        <v>0</v>
      </c>
      <c r="AF103" s="50">
        <f t="shared" si="56"/>
        <v>0</v>
      </c>
      <c r="AG103" s="50">
        <f t="shared" si="56"/>
        <v>0</v>
      </c>
      <c r="AH103" s="50">
        <f t="shared" si="54"/>
        <v>0</v>
      </c>
      <c r="AI103" s="50">
        <f t="shared" si="54"/>
        <v>0</v>
      </c>
      <c r="AJ103" s="50">
        <f t="shared" si="54"/>
        <v>0</v>
      </c>
      <c r="AK103" s="50">
        <f t="shared" ref="AK103" si="57">SUBTOTAL(9,AK96:AK102)</f>
        <v>0</v>
      </c>
      <c r="AL103" s="50">
        <f t="shared" si="54"/>
        <v>0</v>
      </c>
      <c r="AM103" s="50">
        <f t="shared" ref="AM103" si="58">SUBTOTAL(9,AM96:AM102)</f>
        <v>0</v>
      </c>
      <c r="AN103" s="50">
        <f t="shared" si="54"/>
        <v>0</v>
      </c>
      <c r="AO103" s="41"/>
      <c r="AP103" s="61">
        <f t="shared" ref="AP103" si="59">SUBTOTAL(9,AP96:AP102)</f>
        <v>59733</v>
      </c>
      <c r="AQ103" s="41"/>
      <c r="AR103" s="258">
        <f>AP103-'FY21'!S103</f>
        <v>0</v>
      </c>
    </row>
    <row r="104" spans="3:44" s="37" customFormat="1" ht="12" x14ac:dyDescent="0.2">
      <c r="C104" s="49" t="s">
        <v>103</v>
      </c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41"/>
      <c r="AP104" s="59"/>
      <c r="AQ104" s="41"/>
      <c r="AR104" s="258">
        <f>AP104-'FY21'!S104</f>
        <v>0</v>
      </c>
    </row>
    <row r="105" spans="3:44" s="37" customFormat="1" ht="12" x14ac:dyDescent="0.2">
      <c r="C105" s="199">
        <v>6734</v>
      </c>
      <c r="D105" s="37" t="s">
        <v>41</v>
      </c>
      <c r="E105" s="39">
        <f>SUMIF('Exp Details'!$D$383:$D$386,'Function-Grant'!E$4,'Exp Details'!$H$383:$H$386)</f>
        <v>0</v>
      </c>
      <c r="F105" s="39">
        <f>SUMIF('Exp Details'!$D$383:$D$386,'Function-Grant'!F$4,'Exp Details'!$H$383:$H$386)</f>
        <v>0</v>
      </c>
      <c r="G105" s="39">
        <f>SUMIF('Exp Details'!$D$383:$D$386,'Function-Grant'!G$4,'Exp Details'!$H$383:$H$386)</f>
        <v>0</v>
      </c>
      <c r="H105" s="39">
        <f>SUMIF('Exp Details'!$D$383:$D$386,'Function-Grant'!H$4,'Exp Details'!$H$383:$H$386)</f>
        <v>0</v>
      </c>
      <c r="I105" s="39">
        <f>SUMIF('Exp Details'!$D$383:$D$386,'Function-Grant'!I$4,'Exp Details'!$H$383:$H$386)</f>
        <v>0</v>
      </c>
      <c r="J105" s="39">
        <f>SUMIF('Exp Details'!$D$383:$D$386,'Function-Grant'!J$4,'Exp Details'!$H$383:$H$386)</f>
        <v>0</v>
      </c>
      <c r="K105" s="39">
        <f>SUMIF('Exp Details'!$D$383:$D$386,'Function-Grant'!K$4,'Exp Details'!$H$383:$H$386)</f>
        <v>0</v>
      </c>
      <c r="L105" s="39">
        <f>SUMIF('Exp Details'!$D$383:$D$386,'Function-Grant'!L$4,'Exp Details'!$H$383:$H$386)</f>
        <v>0</v>
      </c>
      <c r="M105" s="39">
        <f>SUMIF('Exp Details'!$D$383:$D$386,'Function-Grant'!M$4,'Exp Details'!$H$383:$H$386)</f>
        <v>0</v>
      </c>
      <c r="N105" s="39">
        <f>SUMIF('Exp Details'!$D$383:$D$386,'Function-Grant'!N$4,'Exp Details'!$H$383:$H$386)</f>
        <v>0</v>
      </c>
      <c r="O105" s="39">
        <f>SUMIF('Exp Details'!$D$383:$D$386,'Function-Grant'!O$4,'Exp Details'!$H$383:$H$386)</f>
        <v>0</v>
      </c>
      <c r="P105" s="39">
        <f>SUMIF('Exp Details'!$D$383:$D$386,'Function-Grant'!P$4,'Exp Details'!$H$383:$H$386)</f>
        <v>0</v>
      </c>
      <c r="Q105" s="39">
        <f>SUMIF('Exp Details'!$D$383:$D$386,'Function-Grant'!Q$4,'Exp Details'!$H$383:$H$386)</f>
        <v>0</v>
      </c>
      <c r="R105" s="39">
        <f>SUMIF('Exp Details'!$D$383:$D$386,'Function-Grant'!R$4,'Exp Details'!$H$383:$H$386)</f>
        <v>0</v>
      </c>
      <c r="S105" s="39">
        <f>SUMIF('Exp Details'!$D$383:$D$386,'Function-Grant'!S$4,'Exp Details'!$H$383:$H$386)</f>
        <v>0</v>
      </c>
      <c r="T105" s="39">
        <f>SUMIF('Exp Details'!$D$383:$D$386,'Function-Grant'!T$4,'Exp Details'!$H$383:$H$386)</f>
        <v>0</v>
      </c>
      <c r="U105" s="39">
        <f>SUMIF('Exp Details'!$D$383:$D$386,'Function-Grant'!U$4,'Exp Details'!$H$383:$H$386)</f>
        <v>0</v>
      </c>
      <c r="V105" s="39">
        <f>SUMIF('Exp Details'!$D$383:$D$386,'Function-Grant'!V$4,'Exp Details'!$H$383:$H$386)</f>
        <v>0</v>
      </c>
      <c r="W105" s="39">
        <f>SUMIF('Exp Details'!$D$383:$D$386,'Function-Grant'!W$4,'Exp Details'!$H$383:$H$386)</f>
        <v>0</v>
      </c>
      <c r="X105" s="39">
        <f>SUMIF('Exp Details'!$D$383:$D$386,'Function-Grant'!X$4,'Exp Details'!$H$383:$H$386)</f>
        <v>0</v>
      </c>
      <c r="Y105" s="39">
        <f>SUMIF('Exp Details'!$D$383:$D$386,'Function-Grant'!Y$4,'Exp Details'!$H$383:$H$386)</f>
        <v>0</v>
      </c>
      <c r="Z105" s="39">
        <f>SUMIF('Exp Details'!$D$383:$D$386,'Function-Grant'!Z$4,'Exp Details'!$H$383:$H$386)</f>
        <v>0</v>
      </c>
      <c r="AA105" s="39">
        <f>SUMIF('Exp Details'!$D$383:$D$386,'Function-Grant'!AA$4,'Exp Details'!$H$383:$H$386)</f>
        <v>0</v>
      </c>
      <c r="AB105" s="39">
        <f>SUMIF('Exp Details'!$D$383:$D$386,'Function-Grant'!AB$4,'Exp Details'!$H$383:$H$386)</f>
        <v>0</v>
      </c>
      <c r="AC105" s="39">
        <f>SUMIF('Exp Details'!$D$383:$D$386,'Function-Grant'!AC$4,'Exp Details'!$H$383:$H$386)</f>
        <v>0</v>
      </c>
      <c r="AD105" s="39">
        <f>SUMIF('Exp Details'!$D$383:$D$386,'Function-Grant'!AD$4,'Exp Details'!$H$383:$H$386)</f>
        <v>0</v>
      </c>
      <c r="AE105" s="39">
        <f>SUMIF('Exp Details'!$D$383:$D$386,'Function-Grant'!AE$4,'Exp Details'!$H$383:$H$386)</f>
        <v>0</v>
      </c>
      <c r="AF105" s="39">
        <f>SUMIF('Exp Details'!$D$383:$D$386,'Function-Grant'!AF$4,'Exp Details'!$H$383:$H$386)</f>
        <v>0</v>
      </c>
      <c r="AG105" s="39">
        <f>SUMIF('Exp Details'!$D$383:$D$386,'Function-Grant'!AG$4,'Exp Details'!$H$383:$H$386)</f>
        <v>0</v>
      </c>
      <c r="AH105" s="39">
        <f>SUMIF('Exp Details'!$D$383:$D$386,'Function-Grant'!AH$4,'Exp Details'!$H$383:$H$386)</f>
        <v>0</v>
      </c>
      <c r="AI105" s="39">
        <f>SUMIF('Exp Details'!$D$383:$D$386,'Function-Grant'!AI$4,'Exp Details'!$H$383:$H$386)</f>
        <v>0</v>
      </c>
      <c r="AJ105" s="39">
        <f>SUMIF('Exp Details'!$D$383:$D$386,'Function-Grant'!AJ$4,'Exp Details'!$H$383:$H$386)</f>
        <v>0</v>
      </c>
      <c r="AK105" s="39">
        <f>SUMIF('Exp Details'!$D$383:$D$386,'Function-Grant'!AK$4,'Exp Details'!$H$383:$H$386)</f>
        <v>0</v>
      </c>
      <c r="AL105" s="39">
        <f>SUMIF('Exp Details'!$D$383:$D$386,'Function-Grant'!AL$4,'Exp Details'!$H$383:$H$386)</f>
        <v>0</v>
      </c>
      <c r="AM105" s="39">
        <f>SUMIF('Exp Details'!$D$383:$D$386,'Function-Grant'!AM$4,'Exp Details'!$H$383:$H$386)</f>
        <v>0</v>
      </c>
      <c r="AN105" s="39">
        <f>SUMIF('Exp Details'!$D$383:$D$386,'Function-Grant'!AN$4,'Exp Details'!$H$383:$H$386)</f>
        <v>0</v>
      </c>
      <c r="AO105" s="41"/>
      <c r="AP105" s="59">
        <f>SUM(E105:AO105)</f>
        <v>0</v>
      </c>
      <c r="AQ105" s="41"/>
      <c r="AR105" s="258">
        <f>AP105-'FY21'!S105</f>
        <v>0</v>
      </c>
    </row>
    <row r="106" spans="3:44" s="37" customFormat="1" ht="12" x14ac:dyDescent="0.2">
      <c r="C106" s="38"/>
      <c r="E106" s="50">
        <f t="shared" ref="E106:AN106" si="60">SUBTOTAL(9,E105)</f>
        <v>0</v>
      </c>
      <c r="F106" s="50">
        <f>SUBTOTAL(9,F105)</f>
        <v>0</v>
      </c>
      <c r="G106" s="50">
        <f>SUBTOTAL(9,G105)</f>
        <v>0</v>
      </c>
      <c r="H106" s="50">
        <f t="shared" si="60"/>
        <v>0</v>
      </c>
      <c r="I106" s="50">
        <f t="shared" si="60"/>
        <v>0</v>
      </c>
      <c r="J106" s="50">
        <f t="shared" si="60"/>
        <v>0</v>
      </c>
      <c r="K106" s="50">
        <f t="shared" si="60"/>
        <v>0</v>
      </c>
      <c r="L106" s="50">
        <f t="shared" si="60"/>
        <v>0</v>
      </c>
      <c r="M106" s="50">
        <f t="shared" si="60"/>
        <v>0</v>
      </c>
      <c r="N106" s="50">
        <f t="shared" si="60"/>
        <v>0</v>
      </c>
      <c r="O106" s="50">
        <f t="shared" si="60"/>
        <v>0</v>
      </c>
      <c r="P106" s="50">
        <f t="shared" ref="P106" si="61">SUBTOTAL(9,P105)</f>
        <v>0</v>
      </c>
      <c r="Q106" s="50">
        <f t="shared" si="60"/>
        <v>0</v>
      </c>
      <c r="R106" s="50">
        <f t="shared" ref="R106:AG106" si="62">SUBTOTAL(9,R105)</f>
        <v>0</v>
      </c>
      <c r="S106" s="50">
        <f t="shared" si="62"/>
        <v>0</v>
      </c>
      <c r="T106" s="50">
        <f t="shared" si="62"/>
        <v>0</v>
      </c>
      <c r="U106" s="50">
        <f t="shared" si="62"/>
        <v>0</v>
      </c>
      <c r="V106" s="50">
        <f t="shared" si="62"/>
        <v>0</v>
      </c>
      <c r="W106" s="50">
        <f t="shared" si="62"/>
        <v>0</v>
      </c>
      <c r="X106" s="50">
        <f t="shared" si="62"/>
        <v>0</v>
      </c>
      <c r="Y106" s="50">
        <f t="shared" si="62"/>
        <v>0</v>
      </c>
      <c r="Z106" s="50">
        <f t="shared" si="62"/>
        <v>0</v>
      </c>
      <c r="AA106" s="50">
        <f t="shared" si="62"/>
        <v>0</v>
      </c>
      <c r="AB106" s="50">
        <f t="shared" si="62"/>
        <v>0</v>
      </c>
      <c r="AC106" s="50">
        <f t="shared" si="62"/>
        <v>0</v>
      </c>
      <c r="AD106" s="50">
        <f t="shared" si="62"/>
        <v>0</v>
      </c>
      <c r="AE106" s="50">
        <f t="shared" si="62"/>
        <v>0</v>
      </c>
      <c r="AF106" s="50">
        <f t="shared" si="62"/>
        <v>0</v>
      </c>
      <c r="AG106" s="50">
        <f t="shared" si="62"/>
        <v>0</v>
      </c>
      <c r="AH106" s="50">
        <f t="shared" si="60"/>
        <v>0</v>
      </c>
      <c r="AI106" s="50">
        <f t="shared" si="60"/>
        <v>0</v>
      </c>
      <c r="AJ106" s="50">
        <f t="shared" si="60"/>
        <v>0</v>
      </c>
      <c r="AK106" s="50">
        <f t="shared" ref="AK106" si="63">SUBTOTAL(9,AK105)</f>
        <v>0</v>
      </c>
      <c r="AL106" s="50">
        <f t="shared" si="60"/>
        <v>0</v>
      </c>
      <c r="AM106" s="50">
        <f t="shared" ref="AM106" si="64">SUBTOTAL(9,AM105)</f>
        <v>0</v>
      </c>
      <c r="AN106" s="50">
        <f t="shared" si="60"/>
        <v>0</v>
      </c>
      <c r="AO106" s="41"/>
      <c r="AP106" s="61">
        <f t="shared" ref="AP106" si="65">SUBTOTAL(9,AP105)</f>
        <v>0</v>
      </c>
      <c r="AQ106" s="41"/>
      <c r="AR106" s="258">
        <f>AP106-'FY21'!S106</f>
        <v>0</v>
      </c>
    </row>
    <row r="107" spans="3:44" s="37" customFormat="1" ht="12" x14ac:dyDescent="0.2">
      <c r="C107" s="49" t="s">
        <v>104</v>
      </c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41"/>
      <c r="AP107" s="59"/>
      <c r="AQ107" s="41"/>
      <c r="AR107" s="258">
        <f>AP107-'FY21'!S107</f>
        <v>0</v>
      </c>
    </row>
    <row r="108" spans="3:44" s="37" customFormat="1" ht="12" x14ac:dyDescent="0.2">
      <c r="C108" s="199">
        <v>6810</v>
      </c>
      <c r="D108" s="37" t="s">
        <v>42</v>
      </c>
      <c r="E108" s="39">
        <f>SUMIF('Exp Details'!$D$392:$D$407,'Function-Grant'!E$4,'Exp Details'!$H$392:$H$407)</f>
        <v>0</v>
      </c>
      <c r="F108" s="39">
        <f>SUMIF('Exp Details'!$D$392:$D$407,'Function-Grant'!F$4,'Exp Details'!$H$392:$H$407)</f>
        <v>0</v>
      </c>
      <c r="G108" s="39">
        <f>SUMIF('Exp Details'!$D$392:$D$407,'Function-Grant'!G$4,'Exp Details'!$H$392:$H$407)</f>
        <v>0</v>
      </c>
      <c r="H108" s="39">
        <f>SUMIF('Exp Details'!$D$392:$D$407,'Function-Grant'!H$4,'Exp Details'!$H$392:$H$407)</f>
        <v>0</v>
      </c>
      <c r="I108" s="39">
        <f>SUMIF('Exp Details'!$D$392:$D$407,'Function-Grant'!I$4,'Exp Details'!$H$392:$H$407)</f>
        <v>0</v>
      </c>
      <c r="J108" s="39">
        <f>SUMIF('Exp Details'!$D$392:$D$407,'Function-Grant'!J$4,'Exp Details'!$H$392:$H$407)</f>
        <v>0</v>
      </c>
      <c r="K108" s="39">
        <f>SUMIF('Exp Details'!$D$392:$D$407,'Function-Grant'!K$4,'Exp Details'!$H$392:$H$407)</f>
        <v>0</v>
      </c>
      <c r="L108" s="39">
        <f>SUMIF('Exp Details'!$D$392:$D$407,'Function-Grant'!L$4,'Exp Details'!$H$392:$H$407)</f>
        <v>0</v>
      </c>
      <c r="M108" s="39">
        <f>SUMIF('Exp Details'!$D$392:$D$407,'Function-Grant'!M$4,'Exp Details'!$H$392:$H$407)</f>
        <v>0</v>
      </c>
      <c r="N108" s="39">
        <f>SUMIF('Exp Details'!$D$392:$D$407,'Function-Grant'!N$4,'Exp Details'!$H$392:$H$407)</f>
        <v>0</v>
      </c>
      <c r="O108" s="39">
        <f>SUMIF('Exp Details'!$D$392:$D$407,'Function-Grant'!O$4,'Exp Details'!$H$392:$H$407)</f>
        <v>0</v>
      </c>
      <c r="P108" s="370">
        <f>SUMIF('Exp Details'!$D$392:$D$407,'Function-Grant'!P$4,'Exp Details'!$H$392:$H$407)</f>
        <v>600</v>
      </c>
      <c r="Q108" s="370">
        <f>SUMIF('Exp Details'!$D$392:$D$407,'Function-Grant'!Q$4,'Exp Details'!$H$392:$H$407)</f>
        <v>3895</v>
      </c>
      <c r="R108" s="39">
        <f>SUMIF('Exp Details'!$D$392:$D$407,'Function-Grant'!R$4,'Exp Details'!$H$392:$H$407)</f>
        <v>0</v>
      </c>
      <c r="S108" s="39">
        <f>SUMIF('Exp Details'!$D$392:$D$407,'Function-Grant'!S$4,'Exp Details'!$H$392:$H$407)</f>
        <v>0</v>
      </c>
      <c r="T108" s="370">
        <f>SUMIF('Exp Details'!$D$392:$D$407,'Function-Grant'!T$4,'Exp Details'!$H$392:$H$407)</f>
        <v>208</v>
      </c>
      <c r="U108" s="39">
        <f>SUMIF('Exp Details'!$D$392:$D$407,'Function-Grant'!U$4,'Exp Details'!$H$392:$H$407)</f>
        <v>0</v>
      </c>
      <c r="V108" s="39">
        <f>SUMIF('Exp Details'!$D$392:$D$407,'Function-Grant'!V$4,'Exp Details'!$H$392:$H$407)</f>
        <v>0</v>
      </c>
      <c r="W108" s="39">
        <f>SUMIF('Exp Details'!$D$392:$D$407,'Function-Grant'!W$4,'Exp Details'!$H$392:$H$407)</f>
        <v>0</v>
      </c>
      <c r="X108" s="370">
        <f>SUMIF('Exp Details'!$D$392:$D$407,'Function-Grant'!X$4,'Exp Details'!$H$392:$H$407)</f>
        <v>12340</v>
      </c>
      <c r="Y108" s="39">
        <f>SUMIF('Exp Details'!$D$392:$D$407,'Function-Grant'!Y$4,'Exp Details'!$H$392:$H$407)</f>
        <v>0</v>
      </c>
      <c r="Z108" s="39">
        <f>SUMIF('Exp Details'!$D$392:$D$407,'Function-Grant'!Z$4,'Exp Details'!$H$392:$H$407)</f>
        <v>0</v>
      </c>
      <c r="AA108" s="39">
        <f>SUMIF('Exp Details'!$D$392:$D$407,'Function-Grant'!AA$4,'Exp Details'!$H$392:$H$407)</f>
        <v>0</v>
      </c>
      <c r="AB108" s="39">
        <f>SUMIF('Exp Details'!$D$392:$D$407,'Function-Grant'!AB$4,'Exp Details'!$H$392:$H$407)</f>
        <v>0</v>
      </c>
      <c r="AC108" s="39">
        <f>SUMIF('Exp Details'!$D$392:$D$407,'Function-Grant'!AC$4,'Exp Details'!$H$392:$H$407)</f>
        <v>0</v>
      </c>
      <c r="AD108" s="39">
        <f>SUMIF('Exp Details'!$D$392:$D$407,'Function-Grant'!AD$4,'Exp Details'!$H$392:$H$407)</f>
        <v>0</v>
      </c>
      <c r="AE108" s="39">
        <f>SUMIF('Exp Details'!$D$392:$D$407,'Function-Grant'!AE$4,'Exp Details'!$H$392:$H$407)</f>
        <v>0</v>
      </c>
      <c r="AF108" s="39">
        <f>SUMIF('Exp Details'!$D$392:$D$407,'Function-Grant'!AF$4,'Exp Details'!$H$392:$H$407)</f>
        <v>0</v>
      </c>
      <c r="AG108" s="39">
        <f>SUMIF('Exp Details'!$D$392:$D$407,'Function-Grant'!AG$4,'Exp Details'!$H$392:$H$407)</f>
        <v>0</v>
      </c>
      <c r="AH108" s="39">
        <f>SUMIF('Exp Details'!$D$392:$D$407,'Function-Grant'!AH$4,'Exp Details'!$H$392:$H$407)</f>
        <v>0</v>
      </c>
      <c r="AI108" s="39">
        <f>SUMIF('Exp Details'!$D$392:$D$407,'Function-Grant'!AI$4,'Exp Details'!$H$392:$H$407)</f>
        <v>0</v>
      </c>
      <c r="AJ108" s="39">
        <f>SUMIF('Exp Details'!$D$392:$D$407,'Function-Grant'!AJ$4,'Exp Details'!$H$392:$H$407)</f>
        <v>0</v>
      </c>
      <c r="AK108" s="39">
        <f>SUMIF('Exp Details'!$D$392:$D$407,'Function-Grant'!AK$4,'Exp Details'!$H$392:$H$407)</f>
        <v>0</v>
      </c>
      <c r="AL108" s="39">
        <f>SUMIF('Exp Details'!$D$392:$D$407,'Function-Grant'!AL$4,'Exp Details'!$H$392:$H$407)</f>
        <v>0</v>
      </c>
      <c r="AM108" s="39">
        <f>SUMIF('Exp Details'!$D$392:$D$407,'Function-Grant'!AM$4,'Exp Details'!$H$392:$H$407)</f>
        <v>0</v>
      </c>
      <c r="AN108" s="39">
        <f>SUMIF('Exp Details'!$D$392:$D$407,'Function-Grant'!AN$4,'Exp Details'!$H$392:$H$407)</f>
        <v>0</v>
      </c>
      <c r="AO108" s="41"/>
      <c r="AP108" s="59">
        <f>SUM(E108:AO108)</f>
        <v>17043</v>
      </c>
      <c r="AQ108" s="41"/>
      <c r="AR108" s="258">
        <f>AP108-'FY21'!S108</f>
        <v>0</v>
      </c>
    </row>
    <row r="109" spans="3:44" s="37" customFormat="1" ht="12" x14ac:dyDescent="0.2">
      <c r="C109" s="38"/>
      <c r="E109" s="50">
        <f t="shared" ref="E109:AN109" si="66">SUBTOTAL(9,E108)</f>
        <v>0</v>
      </c>
      <c r="F109" s="50">
        <f>SUBTOTAL(9,F108)</f>
        <v>0</v>
      </c>
      <c r="G109" s="50">
        <f>SUBTOTAL(9,G108)</f>
        <v>0</v>
      </c>
      <c r="H109" s="50">
        <f t="shared" si="66"/>
        <v>0</v>
      </c>
      <c r="I109" s="50">
        <f t="shared" si="66"/>
        <v>0</v>
      </c>
      <c r="J109" s="50">
        <f t="shared" si="66"/>
        <v>0</v>
      </c>
      <c r="K109" s="50">
        <f t="shared" si="66"/>
        <v>0</v>
      </c>
      <c r="L109" s="50">
        <f t="shared" si="66"/>
        <v>0</v>
      </c>
      <c r="M109" s="50">
        <f t="shared" si="66"/>
        <v>0</v>
      </c>
      <c r="N109" s="50">
        <f t="shared" si="66"/>
        <v>0</v>
      </c>
      <c r="O109" s="50">
        <f t="shared" si="66"/>
        <v>0</v>
      </c>
      <c r="P109" s="50">
        <f t="shared" ref="P109" si="67">SUBTOTAL(9,P108)</f>
        <v>600</v>
      </c>
      <c r="Q109" s="50">
        <f t="shared" si="66"/>
        <v>3895</v>
      </c>
      <c r="R109" s="50">
        <f t="shared" ref="R109:AG109" si="68">SUBTOTAL(9,R108)</f>
        <v>0</v>
      </c>
      <c r="S109" s="50">
        <f t="shared" si="68"/>
        <v>0</v>
      </c>
      <c r="T109" s="50">
        <f t="shared" si="68"/>
        <v>208</v>
      </c>
      <c r="U109" s="50">
        <f t="shared" si="68"/>
        <v>0</v>
      </c>
      <c r="V109" s="50">
        <f t="shared" si="68"/>
        <v>0</v>
      </c>
      <c r="W109" s="50">
        <f t="shared" si="68"/>
        <v>0</v>
      </c>
      <c r="X109" s="50">
        <f t="shared" si="68"/>
        <v>12340</v>
      </c>
      <c r="Y109" s="50">
        <f t="shared" si="68"/>
        <v>0</v>
      </c>
      <c r="Z109" s="50">
        <f t="shared" si="68"/>
        <v>0</v>
      </c>
      <c r="AA109" s="50">
        <f t="shared" si="68"/>
        <v>0</v>
      </c>
      <c r="AB109" s="50">
        <f t="shared" si="68"/>
        <v>0</v>
      </c>
      <c r="AC109" s="50">
        <f t="shared" si="68"/>
        <v>0</v>
      </c>
      <c r="AD109" s="50">
        <f t="shared" si="68"/>
        <v>0</v>
      </c>
      <c r="AE109" s="50">
        <f t="shared" si="68"/>
        <v>0</v>
      </c>
      <c r="AF109" s="50">
        <f t="shared" si="68"/>
        <v>0</v>
      </c>
      <c r="AG109" s="50">
        <f t="shared" si="68"/>
        <v>0</v>
      </c>
      <c r="AH109" s="50">
        <f t="shared" si="66"/>
        <v>0</v>
      </c>
      <c r="AI109" s="50">
        <f t="shared" si="66"/>
        <v>0</v>
      </c>
      <c r="AJ109" s="50">
        <f t="shared" si="66"/>
        <v>0</v>
      </c>
      <c r="AK109" s="50">
        <f t="shared" ref="AK109" si="69">SUBTOTAL(9,AK108)</f>
        <v>0</v>
      </c>
      <c r="AL109" s="50">
        <f t="shared" si="66"/>
        <v>0</v>
      </c>
      <c r="AM109" s="50">
        <f t="shared" ref="AM109" si="70">SUBTOTAL(9,AM108)</f>
        <v>0</v>
      </c>
      <c r="AN109" s="50">
        <f t="shared" si="66"/>
        <v>0</v>
      </c>
      <c r="AO109" s="41"/>
      <c r="AP109" s="61">
        <f t="shared" ref="AP109" si="71">SUBTOTAL(9,AP108)</f>
        <v>17043</v>
      </c>
      <c r="AQ109" s="41"/>
      <c r="AR109" s="258">
        <f>AP109-'FY21'!S109</f>
        <v>0</v>
      </c>
    </row>
    <row r="110" spans="3:44" s="45" customFormat="1" ht="12" x14ac:dyDescent="0.2">
      <c r="C110" s="49" t="s">
        <v>43</v>
      </c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62"/>
      <c r="AQ110" s="48"/>
      <c r="AR110" s="258">
        <f>AP110-'FY21'!S110</f>
        <v>0</v>
      </c>
    </row>
    <row r="111" spans="3:44" s="37" customFormat="1" ht="12" x14ac:dyDescent="0.2">
      <c r="C111" s="199">
        <v>7306</v>
      </c>
      <c r="D111" s="37" t="s">
        <v>43</v>
      </c>
      <c r="E111" s="39">
        <f>SUMIF('Exp Details'!$D$412:$D$417,'Function-Grant'!E$4,'Exp Details'!$H$412:$H$417)</f>
        <v>0</v>
      </c>
      <c r="F111" s="39">
        <f>SUMIF('Exp Details'!$D$412:$D$417,'Function-Grant'!F$4,'Exp Details'!$H$412:$H$417)</f>
        <v>0</v>
      </c>
      <c r="G111" s="39">
        <f>SUMIF('Exp Details'!$D$412:$D$417,'Function-Grant'!G$4,'Exp Details'!$H$412:$H$417)</f>
        <v>0</v>
      </c>
      <c r="H111" s="39">
        <f>SUMIF('Exp Details'!$D$412:$D$417,'Function-Grant'!H$4,'Exp Details'!$H$412:$H$417)</f>
        <v>0</v>
      </c>
      <c r="I111" s="39">
        <f>SUMIF('Exp Details'!$D$412:$D$417,'Function-Grant'!I$4,'Exp Details'!$H$412:$H$417)</f>
        <v>0</v>
      </c>
      <c r="J111" s="39">
        <f>SUMIF('Exp Details'!$D$412:$D$417,'Function-Grant'!J$4,'Exp Details'!$H$412:$H$417)</f>
        <v>0</v>
      </c>
      <c r="K111" s="39">
        <f>SUMIF('Exp Details'!$D$412:$D$417,'Function-Grant'!K$4,'Exp Details'!$H$412:$H$417)</f>
        <v>0</v>
      </c>
      <c r="L111" s="39">
        <f>SUMIF('Exp Details'!$D$412:$D$417,'Function-Grant'!L$4,'Exp Details'!$H$412:$H$417)</f>
        <v>0</v>
      </c>
      <c r="M111" s="39">
        <f>SUMIF('Exp Details'!$D$412:$D$417,'Function-Grant'!M$4,'Exp Details'!$H$412:$H$417)</f>
        <v>0</v>
      </c>
      <c r="N111" s="39">
        <f>SUMIF('Exp Details'!$D$412:$D$417,'Function-Grant'!N$4,'Exp Details'!$H$412:$H$417)</f>
        <v>0</v>
      </c>
      <c r="O111" s="39">
        <f>SUMIF('Exp Details'!$D$412:$D$417,'Function-Grant'!O$4,'Exp Details'!$H$412:$H$417)</f>
        <v>0</v>
      </c>
      <c r="P111" s="39">
        <f>SUMIF('Exp Details'!$D$412:$D$417,'Function-Grant'!P$4,'Exp Details'!$H$412:$H$417)</f>
        <v>0</v>
      </c>
      <c r="Q111" s="39">
        <f>SUMIF('Exp Details'!$D$412:$D$417,'Function-Grant'!Q$4,'Exp Details'!$H$412:$H$417)</f>
        <v>0</v>
      </c>
      <c r="R111" s="39">
        <f>SUMIF('Exp Details'!$D$412:$D$417,'Function-Grant'!R$4,'Exp Details'!$H$412:$H$417)</f>
        <v>0</v>
      </c>
      <c r="S111" s="39">
        <f>SUMIF('Exp Details'!$D$412:$D$417,'Function-Grant'!S$4,'Exp Details'!$H$412:$H$417)</f>
        <v>0</v>
      </c>
      <c r="T111" s="39">
        <f>SUMIF('Exp Details'!$D$412:$D$417,'Function-Grant'!T$4,'Exp Details'!$H$412:$H$417)</f>
        <v>0</v>
      </c>
      <c r="U111" s="39">
        <f>SUMIF('Exp Details'!$D$412:$D$417,'Function-Grant'!U$4,'Exp Details'!$H$412:$H$417)</f>
        <v>0</v>
      </c>
      <c r="V111" s="39">
        <f>SUMIF('Exp Details'!$D$412:$D$417,'Function-Grant'!V$4,'Exp Details'!$H$412:$H$417)</f>
        <v>0</v>
      </c>
      <c r="W111" s="39">
        <f>SUMIF('Exp Details'!$D$412:$D$417,'Function-Grant'!W$4,'Exp Details'!$H$412:$H$417)</f>
        <v>0</v>
      </c>
      <c r="X111" s="39">
        <f>SUMIF('Exp Details'!$D$412:$D$417,'Function-Grant'!X$4,'Exp Details'!$H$412:$H$417)</f>
        <v>0</v>
      </c>
      <c r="Y111" s="39">
        <f>SUMIF('Exp Details'!$D$412:$D$417,'Function-Grant'!Y$4,'Exp Details'!$H$412:$H$417)</f>
        <v>0</v>
      </c>
      <c r="Z111" s="39">
        <f>SUMIF('Exp Details'!$D$412:$D$417,'Function-Grant'!Z$4,'Exp Details'!$H$412:$H$417)</f>
        <v>0</v>
      </c>
      <c r="AA111" s="39">
        <f>SUMIF('Exp Details'!$D$412:$D$417,'Function-Grant'!AA$4,'Exp Details'!$H$412:$H$417)</f>
        <v>0</v>
      </c>
      <c r="AB111" s="39">
        <f>SUMIF('Exp Details'!$D$412:$D$417,'Function-Grant'!AB$4,'Exp Details'!$H$412:$H$417)</f>
        <v>0</v>
      </c>
      <c r="AC111" s="39">
        <f>SUMIF('Exp Details'!$D$412:$D$417,'Function-Grant'!AC$4,'Exp Details'!$H$412:$H$417)</f>
        <v>0</v>
      </c>
      <c r="AD111" s="39">
        <f>SUMIF('Exp Details'!$D$412:$D$417,'Function-Grant'!AD$4,'Exp Details'!$H$412:$H$417)</f>
        <v>0</v>
      </c>
      <c r="AE111" s="39">
        <f>SUMIF('Exp Details'!$D$412:$D$417,'Function-Grant'!AE$4,'Exp Details'!$H$412:$H$417)</f>
        <v>0</v>
      </c>
      <c r="AF111" s="39">
        <f>SUMIF('Exp Details'!$D$412:$D$417,'Function-Grant'!AF$4,'Exp Details'!$H$412:$H$417)</f>
        <v>0</v>
      </c>
      <c r="AG111" s="39">
        <f>SUMIF('Exp Details'!$D$412:$D$417,'Function-Grant'!AG$4,'Exp Details'!$H$412:$H$417)</f>
        <v>0</v>
      </c>
      <c r="AH111" s="39">
        <f>SUMIF('Exp Details'!$D$412:$D$417,'Function-Grant'!AH$4,'Exp Details'!$H$412:$H$417)</f>
        <v>0</v>
      </c>
      <c r="AI111" s="39">
        <f>SUMIF('Exp Details'!$D$412:$D$417,'Function-Grant'!AI$4,'Exp Details'!$H$412:$H$417)</f>
        <v>0</v>
      </c>
      <c r="AJ111" s="39">
        <f>SUMIF('Exp Details'!$D$412:$D$417,'Function-Grant'!AJ$4,'Exp Details'!$H$412:$H$417)</f>
        <v>0</v>
      </c>
      <c r="AK111" s="39">
        <f>SUMIF('Exp Details'!$D$412:$D$417,'Function-Grant'!AK$4,'Exp Details'!$H$412:$H$417)</f>
        <v>0</v>
      </c>
      <c r="AL111" s="39">
        <f>SUMIF('Exp Details'!$D$412:$D$417,'Function-Grant'!AL$4,'Exp Details'!$H$412:$H$417)</f>
        <v>0</v>
      </c>
      <c r="AM111" s="39">
        <f>SUMIF('Exp Details'!$D$412:$D$417,'Function-Grant'!AM$4,'Exp Details'!$H$412:$H$417)</f>
        <v>0</v>
      </c>
      <c r="AN111" s="39">
        <f>SUMIF('Exp Details'!$D$412:$D$417,'Function-Grant'!AN$4,'Exp Details'!$H$412:$H$417)</f>
        <v>0</v>
      </c>
      <c r="AO111" s="41"/>
      <c r="AP111" s="62">
        <f>SUM(E111:AO111)</f>
        <v>0</v>
      </c>
      <c r="AQ111" s="41"/>
      <c r="AR111" s="258">
        <f>AP111-'FY21'!S111</f>
        <v>0</v>
      </c>
    </row>
    <row r="112" spans="3:44" s="37" customFormat="1" ht="12" x14ac:dyDescent="0.2">
      <c r="C112" s="38">
        <v>7901</v>
      </c>
      <c r="D112" s="37" t="s">
        <v>177</v>
      </c>
      <c r="E112" s="39">
        <f>SUMIF('Exp Details'!$D$421:$D$426,'Function-Grant'!E$4,'Exp Details'!$H$421:$H$426)</f>
        <v>0</v>
      </c>
      <c r="F112" s="39">
        <f>SUMIF('Exp Details'!$D$421:$D$426,'Function-Grant'!F$4,'Exp Details'!$H$421:$H$426)</f>
        <v>0</v>
      </c>
      <c r="G112" s="39">
        <f>SUMIF('Exp Details'!$D$421:$D$426,'Function-Grant'!G$4,'Exp Details'!$H$421:$H$426)</f>
        <v>0</v>
      </c>
      <c r="H112" s="39">
        <f>SUMIF('Exp Details'!$D$421:$D$426,'Function-Grant'!H$4,'Exp Details'!$H$421:$H$426)</f>
        <v>0</v>
      </c>
      <c r="I112" s="39">
        <f>SUMIF('Exp Details'!$D$421:$D$426,'Function-Grant'!I$4,'Exp Details'!$H$421:$H$426)</f>
        <v>0</v>
      </c>
      <c r="J112" s="39">
        <f>SUMIF('Exp Details'!$D$421:$D$426,'Function-Grant'!J$4,'Exp Details'!$H$421:$H$426)</f>
        <v>0</v>
      </c>
      <c r="K112" s="39">
        <f>SUMIF('Exp Details'!$D$421:$D$426,'Function-Grant'!K$4,'Exp Details'!$H$421:$H$426)</f>
        <v>0</v>
      </c>
      <c r="L112" s="39">
        <f>SUMIF('Exp Details'!$D$421:$D$426,'Function-Grant'!L$4,'Exp Details'!$H$421:$H$426)</f>
        <v>0</v>
      </c>
      <c r="M112" s="39">
        <f>SUMIF('Exp Details'!$D$421:$D$426,'Function-Grant'!M$4,'Exp Details'!$H$421:$H$426)</f>
        <v>0</v>
      </c>
      <c r="N112" s="39">
        <f>SUMIF('Exp Details'!$D$421:$D$426,'Function-Grant'!N$4,'Exp Details'!$H$421:$H$426)</f>
        <v>0</v>
      </c>
      <c r="O112" s="39">
        <f>SUMIF('Exp Details'!$D$421:$D$426,'Function-Grant'!O$4,'Exp Details'!$H$421:$H$426)</f>
        <v>0</v>
      </c>
      <c r="P112" s="39">
        <f>SUMIF('Exp Details'!$D$421:$D$426,'Function-Grant'!P$4,'Exp Details'!$H$421:$H$426)</f>
        <v>0</v>
      </c>
      <c r="Q112" s="39">
        <f>SUMIF('Exp Details'!$D$421:$D$426,'Function-Grant'!Q$4,'Exp Details'!$H$421:$H$426)</f>
        <v>0</v>
      </c>
      <c r="R112" s="39">
        <f>SUMIF('Exp Details'!$D$421:$D$426,'Function-Grant'!R$4,'Exp Details'!$H$421:$H$426)</f>
        <v>0</v>
      </c>
      <c r="S112" s="39">
        <f>SUMIF('Exp Details'!$D$421:$D$426,'Function-Grant'!S$4,'Exp Details'!$H$421:$H$426)</f>
        <v>0</v>
      </c>
      <c r="T112" s="39">
        <f>SUMIF('Exp Details'!$D$421:$D$426,'Function-Grant'!T$4,'Exp Details'!$H$421:$H$426)</f>
        <v>0</v>
      </c>
      <c r="U112" s="39">
        <f>SUMIF('Exp Details'!$D$421:$D$426,'Function-Grant'!U$4,'Exp Details'!$H$421:$H$426)</f>
        <v>0</v>
      </c>
      <c r="V112" s="39">
        <f>SUMIF('Exp Details'!$D$421:$D$426,'Function-Grant'!V$4,'Exp Details'!$H$421:$H$426)</f>
        <v>0</v>
      </c>
      <c r="W112" s="39">
        <f>SUMIF('Exp Details'!$D$421:$D$426,'Function-Grant'!W$4,'Exp Details'!$H$421:$H$426)</f>
        <v>0</v>
      </c>
      <c r="X112" s="39">
        <f>SUMIF('Exp Details'!$D$421:$D$426,'Function-Grant'!X$4,'Exp Details'!$H$421:$H$426)</f>
        <v>0</v>
      </c>
      <c r="Y112" s="39">
        <f>SUMIF('Exp Details'!$D$421:$D$426,'Function-Grant'!Y$4,'Exp Details'!$H$421:$H$426)</f>
        <v>0</v>
      </c>
      <c r="Z112" s="39">
        <f>SUMIF('Exp Details'!$D$421:$D$426,'Function-Grant'!Z$4,'Exp Details'!$H$421:$H$426)</f>
        <v>0</v>
      </c>
      <c r="AA112" s="39">
        <f>SUMIF('Exp Details'!$D$421:$D$426,'Function-Grant'!AA$4,'Exp Details'!$H$421:$H$426)</f>
        <v>0</v>
      </c>
      <c r="AB112" s="39">
        <f>SUMIF('Exp Details'!$D$421:$D$426,'Function-Grant'!AB$4,'Exp Details'!$H$421:$H$426)</f>
        <v>0</v>
      </c>
      <c r="AC112" s="39">
        <f>SUMIF('Exp Details'!$D$421:$D$426,'Function-Grant'!AC$4,'Exp Details'!$H$421:$H$426)</f>
        <v>0</v>
      </c>
      <c r="AD112" s="39">
        <f>SUMIF('Exp Details'!$D$421:$D$426,'Function-Grant'!AD$4,'Exp Details'!$H$421:$H$426)</f>
        <v>0</v>
      </c>
      <c r="AE112" s="39">
        <f>SUMIF('Exp Details'!$D$421:$D$426,'Function-Grant'!AE$4,'Exp Details'!$H$421:$H$426)</f>
        <v>0</v>
      </c>
      <c r="AF112" s="39">
        <f>SUMIF('Exp Details'!$D$421:$D$426,'Function-Grant'!AF$4,'Exp Details'!$H$421:$H$426)</f>
        <v>0</v>
      </c>
      <c r="AG112" s="39">
        <f>SUMIF('Exp Details'!$D$421:$D$426,'Function-Grant'!AG$4,'Exp Details'!$H$421:$H$426)</f>
        <v>0</v>
      </c>
      <c r="AH112" s="39">
        <f>SUMIF('Exp Details'!$D$421:$D$426,'Function-Grant'!AH$4,'Exp Details'!$H$421:$H$426)</f>
        <v>0</v>
      </c>
      <c r="AI112" s="39">
        <f>SUMIF('Exp Details'!$D$421:$D$426,'Function-Grant'!AI$4,'Exp Details'!$H$421:$H$426)</f>
        <v>0</v>
      </c>
      <c r="AJ112" s="39">
        <f>SUMIF('Exp Details'!$D$421:$D$426,'Function-Grant'!AJ$4,'Exp Details'!$H$421:$H$426)</f>
        <v>0</v>
      </c>
      <c r="AK112" s="39">
        <f>SUMIF('Exp Details'!$D$421:$D$426,'Function-Grant'!AK$4,'Exp Details'!$H$421:$H$426)</f>
        <v>0</v>
      </c>
      <c r="AL112" s="39">
        <f>SUMIF('Exp Details'!$D$421:$D$426,'Function-Grant'!AL$4,'Exp Details'!$H$421:$H$426)</f>
        <v>0</v>
      </c>
      <c r="AM112" s="39">
        <f>SUMIF('Exp Details'!$D$421:$D$426,'Function-Grant'!AM$4,'Exp Details'!$H$421:$H$426)</f>
        <v>0</v>
      </c>
      <c r="AN112" s="39">
        <f>SUMIF('Exp Details'!$D$421:$D$426,'Function-Grant'!AN$4,'Exp Details'!$H$421:$H$426)</f>
        <v>0</v>
      </c>
      <c r="AO112" s="41"/>
      <c r="AP112" s="62">
        <f>SUM(E112:AO112)</f>
        <v>0</v>
      </c>
      <c r="AQ112" s="41"/>
      <c r="AR112" s="258">
        <f>AP112-'FY21'!S112</f>
        <v>0</v>
      </c>
    </row>
    <row r="113" spans="1:44" s="37" customFormat="1" ht="12" x14ac:dyDescent="0.2">
      <c r="C113" s="38"/>
      <c r="E113" s="50">
        <f t="shared" ref="E113:AN113" si="72">SUBTOTAL(9,E111:E112)</f>
        <v>0</v>
      </c>
      <c r="F113" s="50">
        <f>SUBTOTAL(9,F111:F112)</f>
        <v>0</v>
      </c>
      <c r="G113" s="50">
        <f>SUBTOTAL(9,G111:G112)</f>
        <v>0</v>
      </c>
      <c r="H113" s="50">
        <f t="shared" si="72"/>
        <v>0</v>
      </c>
      <c r="I113" s="50">
        <f t="shared" si="72"/>
        <v>0</v>
      </c>
      <c r="J113" s="50">
        <f t="shared" si="72"/>
        <v>0</v>
      </c>
      <c r="K113" s="50">
        <f t="shared" si="72"/>
        <v>0</v>
      </c>
      <c r="L113" s="50">
        <f t="shared" si="72"/>
        <v>0</v>
      </c>
      <c r="M113" s="50">
        <f t="shared" si="72"/>
        <v>0</v>
      </c>
      <c r="N113" s="50">
        <f t="shared" si="72"/>
        <v>0</v>
      </c>
      <c r="O113" s="50">
        <f t="shared" si="72"/>
        <v>0</v>
      </c>
      <c r="P113" s="50">
        <f t="shared" ref="P113" si="73">SUBTOTAL(9,P111:P112)</f>
        <v>0</v>
      </c>
      <c r="Q113" s="50">
        <f t="shared" si="72"/>
        <v>0</v>
      </c>
      <c r="R113" s="50">
        <f t="shared" ref="R113:AG113" si="74">SUBTOTAL(9,R111:R112)</f>
        <v>0</v>
      </c>
      <c r="S113" s="50">
        <f t="shared" si="74"/>
        <v>0</v>
      </c>
      <c r="T113" s="50">
        <f t="shared" si="74"/>
        <v>0</v>
      </c>
      <c r="U113" s="50">
        <f t="shared" si="74"/>
        <v>0</v>
      </c>
      <c r="V113" s="50">
        <f t="shared" si="74"/>
        <v>0</v>
      </c>
      <c r="W113" s="50">
        <f t="shared" si="74"/>
        <v>0</v>
      </c>
      <c r="X113" s="50">
        <f t="shared" si="74"/>
        <v>0</v>
      </c>
      <c r="Y113" s="50">
        <f t="shared" si="74"/>
        <v>0</v>
      </c>
      <c r="Z113" s="50">
        <f t="shared" si="74"/>
        <v>0</v>
      </c>
      <c r="AA113" s="50">
        <f t="shared" si="74"/>
        <v>0</v>
      </c>
      <c r="AB113" s="50">
        <f t="shared" si="74"/>
        <v>0</v>
      </c>
      <c r="AC113" s="50">
        <f t="shared" si="74"/>
        <v>0</v>
      </c>
      <c r="AD113" s="50">
        <f t="shared" si="74"/>
        <v>0</v>
      </c>
      <c r="AE113" s="50">
        <f t="shared" si="74"/>
        <v>0</v>
      </c>
      <c r="AF113" s="50">
        <f t="shared" si="74"/>
        <v>0</v>
      </c>
      <c r="AG113" s="50">
        <f t="shared" si="74"/>
        <v>0</v>
      </c>
      <c r="AH113" s="50">
        <f t="shared" si="72"/>
        <v>0</v>
      </c>
      <c r="AI113" s="50">
        <f t="shared" si="72"/>
        <v>0</v>
      </c>
      <c r="AJ113" s="50">
        <f t="shared" si="72"/>
        <v>0</v>
      </c>
      <c r="AK113" s="50">
        <f t="shared" ref="AK113" si="75">SUBTOTAL(9,AK111:AK112)</f>
        <v>0</v>
      </c>
      <c r="AL113" s="50">
        <f t="shared" si="72"/>
        <v>0</v>
      </c>
      <c r="AM113" s="50">
        <f t="shared" ref="AM113" si="76">SUBTOTAL(9,AM111:AM112)</f>
        <v>0</v>
      </c>
      <c r="AN113" s="50">
        <f t="shared" si="72"/>
        <v>0</v>
      </c>
      <c r="AO113" s="41"/>
      <c r="AP113" s="61">
        <f>SUBTOTAL(9,AP111:AP112)</f>
        <v>0</v>
      </c>
      <c r="AQ113" s="41"/>
      <c r="AR113" s="258">
        <f>AP113-'FY21'!S113</f>
        <v>0</v>
      </c>
    </row>
    <row r="114" spans="1:44" s="37" customFormat="1" ht="9" customHeight="1" x14ac:dyDescent="0.2">
      <c r="C114" s="38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41"/>
      <c r="AP114" s="59"/>
      <c r="AQ114" s="41"/>
      <c r="AR114" s="258">
        <f>AP114-'FY21'!S114</f>
        <v>0</v>
      </c>
    </row>
    <row r="115" spans="1:44" s="45" customFormat="1" ht="12" x14ac:dyDescent="0.2">
      <c r="A115" s="45" t="s">
        <v>107</v>
      </c>
      <c r="C115" s="46"/>
      <c r="E115" s="43">
        <f t="shared" ref="E115:AN115" si="77">SUBTOTAL(9,E30:E114)</f>
        <v>0</v>
      </c>
      <c r="F115" s="43">
        <f t="shared" si="77"/>
        <v>105108</v>
      </c>
      <c r="G115" s="43">
        <f t="shared" si="77"/>
        <v>0</v>
      </c>
      <c r="H115" s="43">
        <f t="shared" si="77"/>
        <v>48000</v>
      </c>
      <c r="I115" s="43">
        <f t="shared" si="77"/>
        <v>1875</v>
      </c>
      <c r="J115" s="43">
        <f t="shared" si="77"/>
        <v>0</v>
      </c>
      <c r="K115" s="43">
        <f t="shared" si="77"/>
        <v>37619</v>
      </c>
      <c r="L115" s="43">
        <f t="shared" si="77"/>
        <v>2680</v>
      </c>
      <c r="M115" s="43">
        <f t="shared" si="77"/>
        <v>406461.50124999997</v>
      </c>
      <c r="N115" s="43">
        <f t="shared" si="77"/>
        <v>321541.35239999992</v>
      </c>
      <c r="O115" s="43">
        <f t="shared" si="77"/>
        <v>948038.19193049986</v>
      </c>
      <c r="P115" s="43">
        <f t="shared" si="77"/>
        <v>63114.239999999998</v>
      </c>
      <c r="Q115" s="43">
        <f t="shared" si="77"/>
        <v>73753.709999999992</v>
      </c>
      <c r="R115" s="43">
        <f t="shared" si="77"/>
        <v>12500</v>
      </c>
      <c r="S115" s="43">
        <f t="shared" si="77"/>
        <v>51303</v>
      </c>
      <c r="T115" s="43">
        <f t="shared" si="77"/>
        <v>208</v>
      </c>
      <c r="U115" s="43">
        <f t="shared" si="77"/>
        <v>62556</v>
      </c>
      <c r="V115" s="43">
        <f t="shared" si="77"/>
        <v>6220</v>
      </c>
      <c r="W115" s="43">
        <f t="shared" si="77"/>
        <v>0</v>
      </c>
      <c r="X115" s="43">
        <f t="shared" si="77"/>
        <v>12340</v>
      </c>
      <c r="Y115" s="43">
        <f t="shared" si="77"/>
        <v>0</v>
      </c>
      <c r="Z115" s="43">
        <f t="shared" si="77"/>
        <v>0</v>
      </c>
      <c r="AA115" s="43">
        <f t="shared" si="77"/>
        <v>0</v>
      </c>
      <c r="AB115" s="43">
        <f t="shared" si="77"/>
        <v>0</v>
      </c>
      <c r="AC115" s="43">
        <f t="shared" si="77"/>
        <v>0</v>
      </c>
      <c r="AD115" s="43">
        <f t="shared" si="77"/>
        <v>0</v>
      </c>
      <c r="AE115" s="43">
        <f t="shared" si="77"/>
        <v>0</v>
      </c>
      <c r="AF115" s="43">
        <f t="shared" si="77"/>
        <v>0</v>
      </c>
      <c r="AG115" s="43">
        <f t="shared" si="77"/>
        <v>0</v>
      </c>
      <c r="AH115" s="43">
        <f t="shared" si="77"/>
        <v>0</v>
      </c>
      <c r="AI115" s="43">
        <f t="shared" si="77"/>
        <v>0</v>
      </c>
      <c r="AJ115" s="43">
        <f t="shared" si="77"/>
        <v>9000</v>
      </c>
      <c r="AK115" s="43">
        <f t="shared" ref="AK115" si="78">SUBTOTAL(9,AK30:AK114)</f>
        <v>800</v>
      </c>
      <c r="AL115" s="43">
        <f t="shared" si="77"/>
        <v>800</v>
      </c>
      <c r="AM115" s="43">
        <f t="shared" ref="AM115" si="79">SUBTOTAL(9,AM30:AM114)</f>
        <v>2400</v>
      </c>
      <c r="AN115" s="43">
        <f t="shared" si="77"/>
        <v>10355</v>
      </c>
      <c r="AO115" s="48"/>
      <c r="AP115" s="60">
        <f>SUBTOTAL(9,AP30:AP114)</f>
        <v>2176672.9955805</v>
      </c>
      <c r="AQ115" s="48"/>
      <c r="AR115" s="258">
        <f>AP115-'FY21'!S115</f>
        <v>0</v>
      </c>
    </row>
    <row r="116" spans="1:44" s="37" customFormat="1" ht="12" x14ac:dyDescent="0.2">
      <c r="C116" s="38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41"/>
      <c r="AP116" s="59"/>
      <c r="AQ116" s="41"/>
      <c r="AR116" s="258">
        <f>AP116-'FY21'!S116</f>
        <v>0</v>
      </c>
    </row>
    <row r="117" spans="1:44" s="45" customFormat="1" ht="12.75" thickBot="1" x14ac:dyDescent="0.25">
      <c r="A117" s="45" t="s">
        <v>108</v>
      </c>
      <c r="C117" s="46"/>
      <c r="E117" s="181">
        <f t="shared" ref="E117:AN117" si="80">E27-E115</f>
        <v>2176731.7352</v>
      </c>
      <c r="F117" s="181">
        <f t="shared" si="80"/>
        <v>-105108</v>
      </c>
      <c r="G117" s="181">
        <f t="shared" si="80"/>
        <v>0</v>
      </c>
      <c r="H117" s="181">
        <f t="shared" si="80"/>
        <v>-48000</v>
      </c>
      <c r="I117" s="181">
        <f t="shared" si="80"/>
        <v>-1875</v>
      </c>
      <c r="J117" s="181">
        <f t="shared" si="80"/>
        <v>0</v>
      </c>
      <c r="K117" s="181">
        <f t="shared" si="80"/>
        <v>-37619</v>
      </c>
      <c r="L117" s="181">
        <f t="shared" si="80"/>
        <v>-2680</v>
      </c>
      <c r="M117" s="181">
        <f t="shared" si="80"/>
        <v>-406461.50124999997</v>
      </c>
      <c r="N117" s="181">
        <f t="shared" si="80"/>
        <v>-321541.35239999992</v>
      </c>
      <c r="O117" s="181">
        <f t="shared" si="80"/>
        <v>-948038.19193049986</v>
      </c>
      <c r="P117" s="181">
        <f t="shared" si="80"/>
        <v>-63114.239999999998</v>
      </c>
      <c r="Q117" s="181">
        <f t="shared" si="80"/>
        <v>-73753.709999999992</v>
      </c>
      <c r="R117" s="181">
        <f t="shared" si="80"/>
        <v>-12500</v>
      </c>
      <c r="S117" s="181">
        <f t="shared" si="80"/>
        <v>-51303</v>
      </c>
      <c r="T117" s="181">
        <f t="shared" si="80"/>
        <v>-208</v>
      </c>
      <c r="U117" s="181">
        <f t="shared" si="80"/>
        <v>-62556</v>
      </c>
      <c r="V117" s="181">
        <f t="shared" si="80"/>
        <v>-6220</v>
      </c>
      <c r="W117" s="181">
        <f t="shared" si="80"/>
        <v>0</v>
      </c>
      <c r="X117" s="181">
        <f t="shared" si="80"/>
        <v>-12340</v>
      </c>
      <c r="Y117" s="181">
        <f t="shared" si="80"/>
        <v>0</v>
      </c>
      <c r="Z117" s="181">
        <f t="shared" si="80"/>
        <v>0</v>
      </c>
      <c r="AA117" s="181">
        <f t="shared" si="80"/>
        <v>0</v>
      </c>
      <c r="AB117" s="181">
        <f t="shared" si="80"/>
        <v>0</v>
      </c>
      <c r="AC117" s="181">
        <f t="shared" si="80"/>
        <v>0</v>
      </c>
      <c r="AD117" s="181">
        <f t="shared" si="80"/>
        <v>0</v>
      </c>
      <c r="AE117" s="181">
        <f t="shared" si="80"/>
        <v>0</v>
      </c>
      <c r="AF117" s="181">
        <f t="shared" si="80"/>
        <v>0</v>
      </c>
      <c r="AG117" s="181">
        <f t="shared" si="80"/>
        <v>0</v>
      </c>
      <c r="AH117" s="181">
        <f t="shared" si="80"/>
        <v>0</v>
      </c>
      <c r="AI117" s="181">
        <f t="shared" si="80"/>
        <v>20555</v>
      </c>
      <c r="AJ117" s="181">
        <f t="shared" si="80"/>
        <v>-9000</v>
      </c>
      <c r="AK117" s="181">
        <f t="shared" ref="AK117" si="81">AK27-AK115</f>
        <v>-800</v>
      </c>
      <c r="AL117" s="181">
        <f t="shared" si="80"/>
        <v>-800</v>
      </c>
      <c r="AM117" s="181">
        <f t="shared" ref="AM117" si="82">AM27-AM115</f>
        <v>-2400</v>
      </c>
      <c r="AN117" s="181">
        <f t="shared" si="80"/>
        <v>-10355</v>
      </c>
      <c r="AO117" s="191"/>
      <c r="AP117" s="192">
        <f>AP27-AP115</f>
        <v>20613.739619500004</v>
      </c>
      <c r="AQ117" s="191"/>
      <c r="AR117" s="258">
        <f>AP117-'FY21'!S117</f>
        <v>2055.5</v>
      </c>
    </row>
    <row r="118" spans="1:44" s="37" customFormat="1" ht="12.75" thickTop="1" x14ac:dyDescent="0.2">
      <c r="C118" s="38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41"/>
      <c r="AP118" s="59"/>
      <c r="AQ118" s="41"/>
      <c r="AR118" s="258"/>
    </row>
    <row r="119" spans="1:44" s="37" customFormat="1" ht="12" x14ac:dyDescent="0.2">
      <c r="C119" s="38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41"/>
      <c r="AP119" s="40"/>
      <c r="AQ119" s="41"/>
      <c r="AR119" s="258"/>
    </row>
    <row r="120" spans="1:44" s="37" customFormat="1" ht="12" x14ac:dyDescent="0.2">
      <c r="C120" s="38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41"/>
      <c r="AP120" s="40"/>
      <c r="AQ120" s="41"/>
      <c r="AR120" s="258"/>
    </row>
    <row r="121" spans="1:44" s="37" customFormat="1" ht="12" x14ac:dyDescent="0.2">
      <c r="C121" s="38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41"/>
      <c r="AP121" s="40"/>
      <c r="AQ121" s="41"/>
      <c r="AR121" s="258"/>
    </row>
    <row r="122" spans="1:44" s="37" customFormat="1" ht="12" x14ac:dyDescent="0.2">
      <c r="C122" s="38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41"/>
      <c r="AP122" s="40"/>
      <c r="AQ122" s="41"/>
      <c r="AR122" s="258"/>
    </row>
    <row r="123" spans="1:44" s="37" customFormat="1" ht="12" x14ac:dyDescent="0.2">
      <c r="C123" s="38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41"/>
      <c r="AP123" s="40"/>
      <c r="AQ123" s="41"/>
      <c r="AR123" s="258"/>
    </row>
    <row r="124" spans="1:44" s="37" customFormat="1" ht="12" x14ac:dyDescent="0.2">
      <c r="C124" s="38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41"/>
      <c r="AP124" s="40"/>
      <c r="AQ124" s="41"/>
      <c r="AR124" s="258"/>
    </row>
    <row r="125" spans="1:44" s="37" customFormat="1" ht="12" x14ac:dyDescent="0.2">
      <c r="C125" s="38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41"/>
      <c r="AP125" s="40"/>
      <c r="AQ125" s="41"/>
      <c r="AR125" s="258"/>
    </row>
    <row r="126" spans="1:44" s="37" customFormat="1" ht="12" x14ac:dyDescent="0.2">
      <c r="C126" s="38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41"/>
      <c r="AP126" s="40"/>
      <c r="AQ126" s="41"/>
      <c r="AR126" s="258"/>
    </row>
    <row r="127" spans="1:44" s="37" customFormat="1" ht="12" x14ac:dyDescent="0.2">
      <c r="C127" s="38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41"/>
      <c r="AP127" s="40"/>
      <c r="AQ127" s="41"/>
      <c r="AR127" s="258"/>
    </row>
    <row r="128" spans="1:44" s="37" customFormat="1" ht="12" x14ac:dyDescent="0.2">
      <c r="C128" s="38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41"/>
      <c r="AP128" s="40"/>
      <c r="AQ128" s="41"/>
      <c r="AR128" s="258"/>
    </row>
    <row r="129" spans="3:44" s="37" customFormat="1" ht="12" x14ac:dyDescent="0.2">
      <c r="C129" s="38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41"/>
      <c r="AP129" s="40"/>
      <c r="AQ129" s="41"/>
      <c r="AR129" s="258"/>
    </row>
    <row r="130" spans="3:44" s="37" customFormat="1" ht="12" x14ac:dyDescent="0.2">
      <c r="C130" s="38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41"/>
      <c r="AP130" s="40"/>
      <c r="AQ130" s="41"/>
      <c r="AR130" s="258"/>
    </row>
    <row r="131" spans="3:44" s="37" customFormat="1" ht="12" x14ac:dyDescent="0.2">
      <c r="C131" s="38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41"/>
      <c r="AP131" s="40"/>
      <c r="AQ131" s="41"/>
      <c r="AR131" s="258"/>
    </row>
    <row r="132" spans="3:44" s="37" customFormat="1" ht="12" x14ac:dyDescent="0.2">
      <c r="C132" s="38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41"/>
      <c r="AP132" s="40"/>
      <c r="AQ132" s="41"/>
      <c r="AR132" s="258"/>
    </row>
    <row r="133" spans="3:44" s="37" customFormat="1" ht="12" x14ac:dyDescent="0.2">
      <c r="C133" s="38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41"/>
      <c r="AP133" s="40"/>
      <c r="AQ133" s="41"/>
      <c r="AR133" s="258"/>
    </row>
    <row r="134" spans="3:44" s="37" customFormat="1" ht="12" x14ac:dyDescent="0.2">
      <c r="C134" s="38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41"/>
      <c r="AP134" s="40"/>
      <c r="AQ134" s="41"/>
      <c r="AR134" s="258"/>
    </row>
    <row r="135" spans="3:44" s="37" customFormat="1" ht="12" x14ac:dyDescent="0.2">
      <c r="C135" s="38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41"/>
      <c r="AP135" s="40"/>
      <c r="AQ135" s="41"/>
      <c r="AR135" s="258"/>
    </row>
    <row r="136" spans="3:44" s="37" customFormat="1" ht="12" x14ac:dyDescent="0.2">
      <c r="C136" s="38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41"/>
      <c r="AP136" s="40"/>
      <c r="AQ136" s="41"/>
      <c r="AR136" s="258"/>
    </row>
    <row r="137" spans="3:44" s="37" customFormat="1" ht="12" x14ac:dyDescent="0.2">
      <c r="C137" s="38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41"/>
      <c r="AP137" s="40"/>
      <c r="AQ137" s="41"/>
      <c r="AR137" s="258"/>
    </row>
    <row r="138" spans="3:44" s="37" customFormat="1" ht="12" x14ac:dyDescent="0.2">
      <c r="C138" s="38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41"/>
      <c r="AP138" s="40"/>
      <c r="AQ138" s="41"/>
      <c r="AR138" s="258"/>
    </row>
    <row r="139" spans="3:44" s="37" customFormat="1" ht="12" x14ac:dyDescent="0.2">
      <c r="C139" s="38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41"/>
      <c r="AP139" s="40"/>
      <c r="AQ139" s="41"/>
      <c r="AR139" s="258"/>
    </row>
    <row r="140" spans="3:44" s="37" customFormat="1" ht="12" x14ac:dyDescent="0.2">
      <c r="C140" s="38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41"/>
      <c r="AP140" s="40"/>
      <c r="AQ140" s="41"/>
      <c r="AR140" s="258"/>
    </row>
    <row r="141" spans="3:44" s="37" customFormat="1" ht="12" x14ac:dyDescent="0.2">
      <c r="C141" s="38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41"/>
      <c r="AP141" s="40"/>
      <c r="AQ141" s="41"/>
      <c r="AR141" s="258"/>
    </row>
    <row r="142" spans="3:44" s="37" customFormat="1" ht="12" x14ac:dyDescent="0.2">
      <c r="C142" s="38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41"/>
      <c r="AP142" s="40"/>
      <c r="AQ142" s="41"/>
      <c r="AR142" s="258"/>
    </row>
    <row r="143" spans="3:44" s="37" customFormat="1" ht="12" x14ac:dyDescent="0.2">
      <c r="C143" s="38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41"/>
      <c r="AP143" s="40"/>
      <c r="AQ143" s="41"/>
      <c r="AR143" s="258"/>
    </row>
    <row r="144" spans="3:44" s="37" customFormat="1" ht="12" x14ac:dyDescent="0.2">
      <c r="C144" s="38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41"/>
      <c r="AP144" s="40"/>
      <c r="AQ144" s="41"/>
      <c r="AR144" s="258"/>
    </row>
    <row r="145" spans="3:44" s="37" customFormat="1" ht="12" x14ac:dyDescent="0.2">
      <c r="C145" s="38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41"/>
      <c r="AP145" s="40"/>
      <c r="AQ145" s="41"/>
      <c r="AR145" s="258"/>
    </row>
    <row r="146" spans="3:44" s="37" customFormat="1" ht="12" x14ac:dyDescent="0.2">
      <c r="C146" s="38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41"/>
      <c r="AP146" s="40"/>
      <c r="AQ146" s="41"/>
      <c r="AR146" s="258"/>
    </row>
    <row r="147" spans="3:44" s="37" customFormat="1" ht="12" x14ac:dyDescent="0.2">
      <c r="C147" s="38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41"/>
      <c r="AP147" s="40"/>
      <c r="AQ147" s="41"/>
      <c r="AR147" s="258"/>
    </row>
    <row r="148" spans="3:44" s="37" customFormat="1" ht="12" x14ac:dyDescent="0.2">
      <c r="C148" s="38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41"/>
      <c r="AP148" s="40"/>
      <c r="AQ148" s="41"/>
      <c r="AR148" s="258"/>
    </row>
    <row r="149" spans="3:44" s="37" customFormat="1" ht="12" x14ac:dyDescent="0.2">
      <c r="C149" s="38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41"/>
      <c r="AP149" s="40"/>
      <c r="AQ149" s="41"/>
      <c r="AR149" s="258"/>
    </row>
    <row r="150" spans="3:44" s="37" customFormat="1" ht="12" x14ac:dyDescent="0.2">
      <c r="C150" s="38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41"/>
      <c r="AP150" s="40"/>
      <c r="AQ150" s="41"/>
      <c r="AR150" s="258"/>
    </row>
    <row r="151" spans="3:44" s="37" customFormat="1" ht="12" x14ac:dyDescent="0.2">
      <c r="C151" s="38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41"/>
      <c r="AP151" s="40"/>
      <c r="AQ151" s="41"/>
      <c r="AR151" s="258"/>
    </row>
    <row r="152" spans="3:44" s="37" customFormat="1" ht="12" x14ac:dyDescent="0.2">
      <c r="C152" s="38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41"/>
      <c r="AP152" s="40"/>
      <c r="AQ152" s="41"/>
      <c r="AR152" s="258"/>
    </row>
    <row r="153" spans="3:44" s="37" customFormat="1" ht="12" x14ac:dyDescent="0.2">
      <c r="C153" s="38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41"/>
      <c r="AP153" s="40"/>
      <c r="AQ153" s="41"/>
      <c r="AR153" s="258"/>
    </row>
    <row r="154" spans="3:44" s="37" customFormat="1" ht="12" x14ac:dyDescent="0.2">
      <c r="C154" s="38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41"/>
      <c r="AP154" s="40"/>
      <c r="AQ154" s="41"/>
      <c r="AR154" s="258"/>
    </row>
    <row r="155" spans="3:44" s="37" customFormat="1" ht="12" x14ac:dyDescent="0.2">
      <c r="C155" s="38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41"/>
      <c r="AP155" s="40"/>
      <c r="AQ155" s="41"/>
      <c r="AR155" s="258"/>
    </row>
    <row r="156" spans="3:44" s="37" customFormat="1" ht="12" x14ac:dyDescent="0.2">
      <c r="C156" s="38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41"/>
      <c r="AP156" s="40"/>
      <c r="AQ156" s="41"/>
      <c r="AR156" s="258"/>
    </row>
    <row r="157" spans="3:44" s="37" customFormat="1" ht="12" x14ac:dyDescent="0.2">
      <c r="C157" s="38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41"/>
      <c r="AP157" s="40"/>
      <c r="AQ157" s="41"/>
      <c r="AR157" s="258"/>
    </row>
    <row r="158" spans="3:44" s="37" customFormat="1" ht="12" x14ac:dyDescent="0.2">
      <c r="C158" s="38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41"/>
      <c r="AP158" s="40"/>
      <c r="AQ158" s="41"/>
      <c r="AR158" s="258"/>
    </row>
    <row r="159" spans="3:44" s="37" customFormat="1" ht="12" x14ac:dyDescent="0.2">
      <c r="C159" s="38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41"/>
      <c r="AP159" s="40"/>
      <c r="AQ159" s="41"/>
      <c r="AR159" s="258"/>
    </row>
    <row r="160" spans="3:44" s="37" customFormat="1" ht="12" x14ac:dyDescent="0.2">
      <c r="C160" s="38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41"/>
      <c r="AP160" s="40"/>
      <c r="AQ160" s="41"/>
      <c r="AR160" s="258"/>
    </row>
    <row r="161" spans="3:44" s="37" customFormat="1" ht="12" x14ac:dyDescent="0.2">
      <c r="C161" s="38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41"/>
      <c r="AP161" s="40"/>
      <c r="AQ161" s="41"/>
      <c r="AR161" s="258"/>
    </row>
    <row r="162" spans="3:44" s="37" customFormat="1" ht="12" x14ac:dyDescent="0.2">
      <c r="C162" s="38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41"/>
      <c r="AP162" s="40"/>
      <c r="AQ162" s="41"/>
      <c r="AR162" s="258"/>
    </row>
    <row r="163" spans="3:44" s="37" customFormat="1" ht="12" x14ac:dyDescent="0.2">
      <c r="C163" s="38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41"/>
      <c r="AP163" s="40"/>
      <c r="AQ163" s="41"/>
      <c r="AR163" s="258"/>
    </row>
    <row r="164" spans="3:44" s="37" customFormat="1" ht="12" x14ac:dyDescent="0.2">
      <c r="C164" s="38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41"/>
      <c r="AP164" s="40"/>
      <c r="AQ164" s="41"/>
      <c r="AR164" s="258"/>
    </row>
    <row r="165" spans="3:44" s="37" customFormat="1" ht="12" x14ac:dyDescent="0.2">
      <c r="C165" s="38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41"/>
      <c r="AP165" s="40"/>
      <c r="AQ165" s="41"/>
      <c r="AR165" s="258"/>
    </row>
    <row r="166" spans="3:44" s="37" customFormat="1" ht="12" x14ac:dyDescent="0.2">
      <c r="C166" s="38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41"/>
      <c r="AP166" s="40"/>
      <c r="AQ166" s="41"/>
      <c r="AR166" s="258"/>
    </row>
    <row r="167" spans="3:44" s="37" customFormat="1" ht="12" x14ac:dyDescent="0.2">
      <c r="C167" s="38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41"/>
      <c r="AP167" s="40"/>
      <c r="AQ167" s="41"/>
      <c r="AR167" s="258"/>
    </row>
    <row r="168" spans="3:44" s="37" customFormat="1" ht="12" x14ac:dyDescent="0.2">
      <c r="C168" s="38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41"/>
      <c r="AP168" s="40"/>
      <c r="AQ168" s="41"/>
      <c r="AR168" s="258"/>
    </row>
    <row r="169" spans="3:44" s="37" customFormat="1" ht="12" x14ac:dyDescent="0.2">
      <c r="C169" s="38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41"/>
      <c r="AP169" s="40"/>
      <c r="AQ169" s="41"/>
      <c r="AR169" s="258"/>
    </row>
    <row r="170" spans="3:44" s="37" customFormat="1" ht="12" x14ac:dyDescent="0.2">
      <c r="C170" s="38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41"/>
      <c r="AP170" s="40"/>
      <c r="AQ170" s="41"/>
      <c r="AR170" s="258"/>
    </row>
    <row r="171" spans="3:44" s="37" customFormat="1" ht="12" x14ac:dyDescent="0.2">
      <c r="C171" s="38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41"/>
      <c r="AP171" s="40"/>
      <c r="AQ171" s="41"/>
      <c r="AR171" s="258"/>
    </row>
    <row r="172" spans="3:44" s="37" customFormat="1" ht="12" x14ac:dyDescent="0.2">
      <c r="C172" s="38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41"/>
      <c r="AP172" s="40"/>
      <c r="AQ172" s="41"/>
      <c r="AR172" s="258"/>
    </row>
    <row r="173" spans="3:44" s="37" customFormat="1" ht="12" x14ac:dyDescent="0.2">
      <c r="C173" s="38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41"/>
      <c r="AP173" s="40"/>
      <c r="AQ173" s="41"/>
      <c r="AR173" s="258"/>
    </row>
    <row r="174" spans="3:44" s="37" customFormat="1" ht="12" x14ac:dyDescent="0.2">
      <c r="C174" s="38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41"/>
      <c r="AP174" s="40"/>
      <c r="AQ174" s="41"/>
      <c r="AR174" s="258"/>
    </row>
    <row r="175" spans="3:44" s="37" customFormat="1" ht="12" x14ac:dyDescent="0.2">
      <c r="C175" s="38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41"/>
      <c r="AP175" s="40"/>
      <c r="AQ175" s="41"/>
      <c r="AR175" s="258"/>
    </row>
    <row r="176" spans="3:44" s="37" customFormat="1" ht="12" x14ac:dyDescent="0.2">
      <c r="C176" s="38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41"/>
      <c r="AP176" s="40"/>
      <c r="AQ176" s="41"/>
      <c r="AR176" s="258"/>
    </row>
    <row r="177" spans="3:44" s="37" customFormat="1" ht="12" x14ac:dyDescent="0.2">
      <c r="C177" s="38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41"/>
      <c r="AP177" s="40"/>
      <c r="AQ177" s="41"/>
      <c r="AR177" s="258"/>
    </row>
    <row r="178" spans="3:44" s="37" customFormat="1" ht="12" x14ac:dyDescent="0.2">
      <c r="C178" s="38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41"/>
      <c r="AP178" s="40"/>
      <c r="AQ178" s="41"/>
      <c r="AR178" s="258"/>
    </row>
    <row r="179" spans="3:44" s="37" customFormat="1" ht="12" x14ac:dyDescent="0.2">
      <c r="C179" s="38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41"/>
      <c r="AP179" s="40"/>
      <c r="AQ179" s="41"/>
      <c r="AR179" s="258"/>
    </row>
    <row r="180" spans="3:44" s="37" customFormat="1" ht="12" x14ac:dyDescent="0.2">
      <c r="C180" s="38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41"/>
      <c r="AP180" s="40"/>
      <c r="AQ180" s="41"/>
      <c r="AR180" s="258"/>
    </row>
    <row r="181" spans="3:44" s="37" customFormat="1" ht="12" x14ac:dyDescent="0.2">
      <c r="C181" s="38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41"/>
      <c r="AP181" s="40"/>
      <c r="AQ181" s="41"/>
      <c r="AR181" s="258"/>
    </row>
    <row r="182" spans="3:44" s="37" customFormat="1" ht="12" x14ac:dyDescent="0.2">
      <c r="C182" s="38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41"/>
      <c r="AP182" s="40"/>
      <c r="AQ182" s="41"/>
      <c r="AR182" s="258"/>
    </row>
    <row r="183" spans="3:44" s="37" customFormat="1" ht="12" x14ac:dyDescent="0.2">
      <c r="C183" s="38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41"/>
      <c r="AP183" s="40"/>
      <c r="AQ183" s="41"/>
      <c r="AR183" s="258"/>
    </row>
    <row r="184" spans="3:44" s="37" customFormat="1" ht="12" x14ac:dyDescent="0.2">
      <c r="C184" s="38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41"/>
      <c r="AP184" s="40"/>
      <c r="AQ184" s="41"/>
      <c r="AR184" s="258"/>
    </row>
    <row r="185" spans="3:44" s="37" customFormat="1" ht="12" x14ac:dyDescent="0.2">
      <c r="C185" s="38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41"/>
      <c r="AP185" s="40"/>
      <c r="AQ185" s="41"/>
      <c r="AR185" s="258"/>
    </row>
    <row r="186" spans="3:44" s="37" customFormat="1" ht="12" x14ac:dyDescent="0.2">
      <c r="C186" s="38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41"/>
      <c r="AP186" s="40"/>
      <c r="AQ186" s="41"/>
      <c r="AR186" s="258"/>
    </row>
    <row r="187" spans="3:44" s="37" customFormat="1" ht="12" x14ac:dyDescent="0.2">
      <c r="C187" s="38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41"/>
      <c r="AP187" s="40"/>
      <c r="AQ187" s="41"/>
      <c r="AR187" s="258"/>
    </row>
    <row r="188" spans="3:44" s="37" customFormat="1" ht="12" x14ac:dyDescent="0.2">
      <c r="C188" s="38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41"/>
      <c r="AP188" s="40"/>
      <c r="AQ188" s="41"/>
      <c r="AR188" s="258"/>
    </row>
    <row r="189" spans="3:44" s="37" customFormat="1" ht="12" x14ac:dyDescent="0.2">
      <c r="C189" s="38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41"/>
      <c r="AP189" s="40"/>
      <c r="AQ189" s="41"/>
      <c r="AR189" s="258"/>
    </row>
    <row r="190" spans="3:44" s="37" customFormat="1" ht="12" x14ac:dyDescent="0.2">
      <c r="C190" s="38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41"/>
      <c r="AP190" s="40"/>
      <c r="AQ190" s="41"/>
      <c r="AR190" s="258"/>
    </row>
    <row r="191" spans="3:44" s="37" customFormat="1" ht="12" x14ac:dyDescent="0.2">
      <c r="C191" s="38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41"/>
      <c r="AP191" s="40"/>
      <c r="AQ191" s="41"/>
      <c r="AR191" s="258"/>
    </row>
    <row r="192" spans="3:44" s="37" customFormat="1" ht="12" x14ac:dyDescent="0.2">
      <c r="C192" s="38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41"/>
      <c r="AP192" s="40"/>
      <c r="AQ192" s="41"/>
      <c r="AR192" s="258"/>
    </row>
    <row r="193" spans="3:44" s="37" customFormat="1" ht="12" x14ac:dyDescent="0.2">
      <c r="C193" s="38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41"/>
      <c r="AP193" s="40"/>
      <c r="AQ193" s="41"/>
      <c r="AR193" s="258"/>
    </row>
    <row r="194" spans="3:44" s="37" customFormat="1" ht="12" x14ac:dyDescent="0.2">
      <c r="C194" s="38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41"/>
      <c r="AP194" s="40"/>
      <c r="AQ194" s="41"/>
      <c r="AR194" s="258"/>
    </row>
    <row r="195" spans="3:44" s="37" customFormat="1" ht="12" x14ac:dyDescent="0.2">
      <c r="C195" s="38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41"/>
      <c r="AP195" s="40"/>
      <c r="AQ195" s="41"/>
      <c r="AR195" s="258"/>
    </row>
    <row r="196" spans="3:44" s="37" customFormat="1" ht="12" x14ac:dyDescent="0.2">
      <c r="C196" s="38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41"/>
      <c r="AP196" s="40"/>
      <c r="AQ196" s="41"/>
      <c r="AR196" s="258"/>
    </row>
    <row r="197" spans="3:44" s="37" customFormat="1" ht="12" x14ac:dyDescent="0.2">
      <c r="C197" s="38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41"/>
      <c r="AP197" s="40"/>
      <c r="AQ197" s="41"/>
      <c r="AR197" s="258"/>
    </row>
    <row r="198" spans="3:44" s="37" customFormat="1" ht="12" x14ac:dyDescent="0.2">
      <c r="C198" s="38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41"/>
      <c r="AP198" s="40"/>
      <c r="AQ198" s="41"/>
      <c r="AR198" s="258"/>
    </row>
    <row r="199" spans="3:44" s="37" customFormat="1" ht="12" x14ac:dyDescent="0.2">
      <c r="C199" s="38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41"/>
      <c r="AP199" s="40"/>
      <c r="AQ199" s="41"/>
      <c r="AR199" s="258"/>
    </row>
    <row r="200" spans="3:44" s="37" customFormat="1" ht="12" x14ac:dyDescent="0.2">
      <c r="C200" s="38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41"/>
      <c r="AP200" s="40"/>
      <c r="AQ200" s="41"/>
      <c r="AR200" s="258"/>
    </row>
    <row r="201" spans="3:44" s="37" customFormat="1" ht="12" x14ac:dyDescent="0.2">
      <c r="C201" s="38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41"/>
      <c r="AP201" s="40"/>
      <c r="AQ201" s="41"/>
      <c r="AR201" s="258"/>
    </row>
    <row r="202" spans="3:44" s="37" customFormat="1" ht="12" x14ac:dyDescent="0.2">
      <c r="C202" s="38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  <c r="AO202" s="41"/>
      <c r="AP202" s="40"/>
      <c r="AQ202" s="41"/>
      <c r="AR202" s="258"/>
    </row>
    <row r="203" spans="3:44" s="37" customFormat="1" ht="12" x14ac:dyDescent="0.2">
      <c r="C203" s="38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39"/>
      <c r="AN203" s="39"/>
      <c r="AO203" s="41"/>
      <c r="AP203" s="40"/>
      <c r="AQ203" s="41"/>
      <c r="AR203" s="258"/>
    </row>
    <row r="204" spans="3:44" s="37" customFormat="1" ht="12" x14ac:dyDescent="0.2">
      <c r="C204" s="38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39"/>
      <c r="AN204" s="39"/>
      <c r="AO204" s="41"/>
      <c r="AP204" s="40"/>
      <c r="AQ204" s="41"/>
      <c r="AR204" s="258"/>
    </row>
    <row r="205" spans="3:44" s="37" customFormat="1" ht="12" x14ac:dyDescent="0.2">
      <c r="C205" s="38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39"/>
      <c r="AN205" s="39"/>
      <c r="AO205" s="41"/>
      <c r="AP205" s="40"/>
      <c r="AQ205" s="41"/>
      <c r="AR205" s="258"/>
    </row>
    <row r="206" spans="3:44" s="37" customFormat="1" ht="12" x14ac:dyDescent="0.2">
      <c r="C206" s="38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  <c r="AN206" s="39"/>
      <c r="AO206" s="41"/>
      <c r="AP206" s="40"/>
      <c r="AQ206" s="41"/>
      <c r="AR206" s="258"/>
    </row>
    <row r="207" spans="3:44" s="37" customFormat="1" ht="12" x14ac:dyDescent="0.2">
      <c r="C207" s="38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39"/>
      <c r="AN207" s="39"/>
      <c r="AO207" s="41"/>
      <c r="AP207" s="40"/>
      <c r="AQ207" s="41"/>
      <c r="AR207" s="258"/>
    </row>
    <row r="208" spans="3:44" s="37" customFormat="1" ht="12" x14ac:dyDescent="0.2">
      <c r="C208" s="38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39"/>
      <c r="AN208" s="39"/>
      <c r="AO208" s="41"/>
      <c r="AP208" s="40"/>
      <c r="AQ208" s="41"/>
      <c r="AR208" s="258"/>
    </row>
    <row r="209" spans="3:44" s="37" customFormat="1" ht="12" x14ac:dyDescent="0.2">
      <c r="C209" s="38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  <c r="AL209" s="39"/>
      <c r="AM209" s="39"/>
      <c r="AN209" s="39"/>
      <c r="AO209" s="41"/>
      <c r="AP209" s="40"/>
      <c r="AQ209" s="41"/>
      <c r="AR209" s="258"/>
    </row>
    <row r="210" spans="3:44" s="37" customFormat="1" ht="12" x14ac:dyDescent="0.2">
      <c r="C210" s="38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  <c r="AN210" s="39"/>
      <c r="AO210" s="41"/>
      <c r="AP210" s="40"/>
      <c r="AQ210" s="41"/>
      <c r="AR210" s="258"/>
    </row>
    <row r="211" spans="3:44" s="37" customFormat="1" ht="12" x14ac:dyDescent="0.2">
      <c r="C211" s="38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  <c r="AN211" s="39"/>
      <c r="AO211" s="41"/>
      <c r="AP211" s="40"/>
      <c r="AQ211" s="41"/>
      <c r="AR211" s="258"/>
    </row>
    <row r="212" spans="3:44" s="37" customFormat="1" ht="12" x14ac:dyDescent="0.2">
      <c r="C212" s="38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  <c r="AN212" s="39"/>
      <c r="AO212" s="41"/>
      <c r="AP212" s="40"/>
      <c r="AQ212" s="41"/>
      <c r="AR212" s="258"/>
    </row>
    <row r="213" spans="3:44" s="37" customFormat="1" ht="12" x14ac:dyDescent="0.2">
      <c r="C213" s="38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N213" s="39"/>
      <c r="AO213" s="41"/>
      <c r="AP213" s="40"/>
      <c r="AQ213" s="41"/>
      <c r="AR213" s="258"/>
    </row>
    <row r="214" spans="3:44" s="37" customFormat="1" ht="12" x14ac:dyDescent="0.2">
      <c r="C214" s="38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  <c r="AN214" s="39"/>
      <c r="AO214" s="41"/>
      <c r="AP214" s="40"/>
      <c r="AQ214" s="41"/>
      <c r="AR214" s="258"/>
    </row>
    <row r="215" spans="3:44" s="37" customFormat="1" ht="12" x14ac:dyDescent="0.2">
      <c r="C215" s="38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  <c r="AO215" s="41"/>
      <c r="AP215" s="40"/>
      <c r="AQ215" s="41"/>
      <c r="AR215" s="258"/>
    </row>
    <row r="216" spans="3:44" s="37" customFormat="1" ht="12" x14ac:dyDescent="0.2">
      <c r="C216" s="38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  <c r="AN216" s="39"/>
      <c r="AO216" s="41"/>
      <c r="AP216" s="40"/>
      <c r="AQ216" s="41"/>
      <c r="AR216" s="258"/>
    </row>
    <row r="217" spans="3:44" s="37" customFormat="1" ht="12" x14ac:dyDescent="0.2">
      <c r="C217" s="38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41"/>
      <c r="AP217" s="40"/>
      <c r="AQ217" s="41"/>
      <c r="AR217" s="258"/>
    </row>
    <row r="218" spans="3:44" s="37" customFormat="1" ht="12" x14ac:dyDescent="0.2">
      <c r="C218" s="38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  <c r="AO218" s="41"/>
      <c r="AP218" s="40"/>
      <c r="AQ218" s="41"/>
      <c r="AR218" s="258"/>
    </row>
    <row r="219" spans="3:44" s="37" customFormat="1" ht="12" x14ac:dyDescent="0.2">
      <c r="C219" s="38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41"/>
      <c r="AP219" s="40"/>
      <c r="AQ219" s="41"/>
      <c r="AR219" s="258"/>
    </row>
    <row r="220" spans="3:44" s="37" customFormat="1" ht="12" x14ac:dyDescent="0.2">
      <c r="C220" s="38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  <c r="AO220" s="41"/>
      <c r="AP220" s="40"/>
      <c r="AQ220" s="41"/>
      <c r="AR220" s="258"/>
    </row>
    <row r="221" spans="3:44" s="37" customFormat="1" ht="12" x14ac:dyDescent="0.2">
      <c r="C221" s="38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41"/>
      <c r="AP221" s="40"/>
      <c r="AQ221" s="41"/>
      <c r="AR221" s="258"/>
    </row>
    <row r="222" spans="3:44" s="37" customFormat="1" ht="12" x14ac:dyDescent="0.2">
      <c r="C222" s="38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  <c r="AN222" s="39"/>
      <c r="AO222" s="41"/>
      <c r="AP222" s="40"/>
      <c r="AQ222" s="41"/>
      <c r="AR222" s="258"/>
    </row>
    <row r="223" spans="3:44" s="37" customFormat="1" ht="12" x14ac:dyDescent="0.2">
      <c r="C223" s="38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39"/>
      <c r="AN223" s="39"/>
      <c r="AO223" s="41"/>
      <c r="AP223" s="40"/>
      <c r="AQ223" s="41"/>
      <c r="AR223" s="258"/>
    </row>
    <row r="224" spans="3:44" s="37" customFormat="1" ht="12" x14ac:dyDescent="0.2">
      <c r="C224" s="38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39"/>
      <c r="AN224" s="39"/>
      <c r="AO224" s="41"/>
      <c r="AP224" s="40"/>
      <c r="AQ224" s="41"/>
      <c r="AR224" s="258"/>
    </row>
    <row r="225" spans="3:44" s="37" customFormat="1" ht="12" x14ac:dyDescent="0.2">
      <c r="C225" s="38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41"/>
      <c r="AP225" s="40"/>
      <c r="AQ225" s="41"/>
      <c r="AR225" s="258"/>
    </row>
    <row r="226" spans="3:44" s="37" customFormat="1" ht="12" x14ac:dyDescent="0.2">
      <c r="C226" s="38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41"/>
      <c r="AP226" s="40"/>
      <c r="AQ226" s="41"/>
      <c r="AR226" s="258"/>
    </row>
    <row r="227" spans="3:44" s="37" customFormat="1" ht="12" x14ac:dyDescent="0.2">
      <c r="C227" s="38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41"/>
      <c r="AP227" s="40"/>
      <c r="AQ227" s="41"/>
      <c r="AR227" s="258"/>
    </row>
    <row r="228" spans="3:44" s="37" customFormat="1" ht="12" x14ac:dyDescent="0.2">
      <c r="C228" s="38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  <c r="AM228" s="39"/>
      <c r="AN228" s="39"/>
      <c r="AO228" s="41"/>
      <c r="AP228" s="40"/>
      <c r="AQ228" s="41"/>
      <c r="AR228" s="258"/>
    </row>
    <row r="229" spans="3:44" s="37" customFormat="1" ht="12" x14ac:dyDescent="0.2">
      <c r="C229" s="38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  <c r="AO229" s="41"/>
      <c r="AP229" s="40"/>
      <c r="AQ229" s="41"/>
      <c r="AR229" s="258"/>
    </row>
    <row r="230" spans="3:44" s="37" customFormat="1" ht="12" x14ac:dyDescent="0.2">
      <c r="C230" s="38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  <c r="AM230" s="39"/>
      <c r="AN230" s="39"/>
      <c r="AO230" s="41"/>
      <c r="AP230" s="40"/>
      <c r="AQ230" s="41"/>
      <c r="AR230" s="258"/>
    </row>
    <row r="231" spans="3:44" s="37" customFormat="1" ht="12" x14ac:dyDescent="0.2">
      <c r="C231" s="38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  <c r="AN231" s="39"/>
      <c r="AO231" s="41"/>
      <c r="AP231" s="40"/>
      <c r="AQ231" s="41"/>
      <c r="AR231" s="258"/>
    </row>
    <row r="232" spans="3:44" s="37" customFormat="1" ht="12" x14ac:dyDescent="0.2">
      <c r="C232" s="38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  <c r="AN232" s="39"/>
      <c r="AO232" s="41"/>
      <c r="AP232" s="40"/>
      <c r="AQ232" s="41"/>
      <c r="AR232" s="258"/>
    </row>
    <row r="233" spans="3:44" s="37" customFormat="1" ht="12" x14ac:dyDescent="0.2">
      <c r="C233" s="38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  <c r="AN233" s="39"/>
      <c r="AO233" s="41"/>
      <c r="AP233" s="40"/>
      <c r="AQ233" s="41"/>
      <c r="AR233" s="258"/>
    </row>
    <row r="234" spans="3:44" s="37" customFormat="1" ht="12" x14ac:dyDescent="0.2">
      <c r="C234" s="38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  <c r="AN234" s="39"/>
      <c r="AO234" s="41"/>
      <c r="AP234" s="40"/>
      <c r="AQ234" s="41"/>
      <c r="AR234" s="258"/>
    </row>
    <row r="235" spans="3:44" s="37" customFormat="1" ht="12" x14ac:dyDescent="0.2">
      <c r="C235" s="38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9"/>
      <c r="AO235" s="41"/>
      <c r="AP235" s="40"/>
      <c r="AQ235" s="41"/>
      <c r="AR235" s="258"/>
    </row>
    <row r="236" spans="3:44" s="37" customFormat="1" ht="12" x14ac:dyDescent="0.2">
      <c r="C236" s="38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39"/>
      <c r="AN236" s="39"/>
      <c r="AO236" s="41"/>
      <c r="AP236" s="40"/>
      <c r="AQ236" s="41"/>
      <c r="AR236" s="258"/>
    </row>
    <row r="237" spans="3:44" s="37" customFormat="1" ht="12" x14ac:dyDescent="0.2">
      <c r="C237" s="38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39"/>
      <c r="AN237" s="39"/>
      <c r="AO237" s="41"/>
      <c r="AP237" s="40"/>
      <c r="AQ237" s="41"/>
      <c r="AR237" s="258"/>
    </row>
    <row r="238" spans="3:44" s="37" customFormat="1" ht="12" x14ac:dyDescent="0.2">
      <c r="C238" s="38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9"/>
      <c r="AO238" s="41"/>
      <c r="AP238" s="40"/>
      <c r="AQ238" s="41"/>
      <c r="AR238" s="258"/>
    </row>
    <row r="239" spans="3:44" s="37" customFormat="1" ht="12" x14ac:dyDescent="0.2">
      <c r="C239" s="38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39"/>
      <c r="AN239" s="39"/>
      <c r="AO239" s="41"/>
      <c r="AP239" s="40"/>
      <c r="AQ239" s="41"/>
      <c r="AR239" s="258"/>
    </row>
    <row r="240" spans="3:44" s="37" customFormat="1" ht="12" x14ac:dyDescent="0.2">
      <c r="C240" s="38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  <c r="AN240" s="39"/>
      <c r="AO240" s="41"/>
      <c r="AP240" s="40"/>
      <c r="AQ240" s="41"/>
      <c r="AR240" s="258"/>
    </row>
    <row r="241" spans="3:44" s="37" customFormat="1" ht="12" x14ac:dyDescent="0.2">
      <c r="C241" s="38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  <c r="AN241" s="39"/>
      <c r="AO241" s="41"/>
      <c r="AP241" s="40"/>
      <c r="AQ241" s="41"/>
      <c r="AR241" s="258"/>
    </row>
    <row r="242" spans="3:44" s="37" customFormat="1" ht="12" x14ac:dyDescent="0.2">
      <c r="C242" s="38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  <c r="AN242" s="39"/>
      <c r="AO242" s="41"/>
      <c r="AP242" s="40"/>
      <c r="AQ242" s="41"/>
      <c r="AR242" s="258"/>
    </row>
    <row r="243" spans="3:44" s="37" customFormat="1" ht="12" x14ac:dyDescent="0.2">
      <c r="C243" s="38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  <c r="AN243" s="39"/>
      <c r="AO243" s="41"/>
      <c r="AP243" s="40"/>
      <c r="AQ243" s="41"/>
      <c r="AR243" s="258"/>
    </row>
    <row r="244" spans="3:44" s="37" customFormat="1" ht="12" x14ac:dyDescent="0.2">
      <c r="C244" s="38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  <c r="AN244" s="39"/>
      <c r="AO244" s="41"/>
      <c r="AP244" s="40"/>
      <c r="AQ244" s="41"/>
      <c r="AR244" s="258"/>
    </row>
    <row r="245" spans="3:44" s="37" customFormat="1" ht="12" x14ac:dyDescent="0.2">
      <c r="C245" s="38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  <c r="AN245" s="39"/>
      <c r="AO245" s="41"/>
      <c r="AP245" s="40"/>
      <c r="AQ245" s="41"/>
      <c r="AR245" s="258"/>
    </row>
    <row r="246" spans="3:44" s="37" customFormat="1" ht="12" x14ac:dyDescent="0.2">
      <c r="C246" s="38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  <c r="AN246" s="39"/>
      <c r="AO246" s="41"/>
      <c r="AP246" s="40"/>
      <c r="AQ246" s="41"/>
      <c r="AR246" s="258"/>
    </row>
    <row r="247" spans="3:44" s="37" customFormat="1" ht="12" x14ac:dyDescent="0.2">
      <c r="C247" s="38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39"/>
      <c r="AN247" s="39"/>
      <c r="AO247" s="41"/>
      <c r="AP247" s="40"/>
      <c r="AQ247" s="41"/>
      <c r="AR247" s="258"/>
    </row>
    <row r="248" spans="3:44" s="37" customFormat="1" ht="12" x14ac:dyDescent="0.2">
      <c r="C248" s="38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  <c r="AJ248" s="39"/>
      <c r="AK248" s="39"/>
      <c r="AL248" s="39"/>
      <c r="AM248" s="39"/>
      <c r="AN248" s="39"/>
      <c r="AO248" s="41"/>
      <c r="AP248" s="40"/>
      <c r="AQ248" s="41"/>
      <c r="AR248" s="258"/>
    </row>
    <row r="249" spans="3:44" s="37" customFormat="1" ht="12" x14ac:dyDescent="0.2">
      <c r="C249" s="38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39"/>
      <c r="AK249" s="39"/>
      <c r="AL249" s="39"/>
      <c r="AM249" s="39"/>
      <c r="AN249" s="39"/>
      <c r="AO249" s="41"/>
      <c r="AP249" s="40"/>
      <c r="AQ249" s="41"/>
      <c r="AR249" s="258"/>
    </row>
    <row r="250" spans="3:44" s="37" customFormat="1" ht="12" x14ac:dyDescent="0.2">
      <c r="C250" s="38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39"/>
      <c r="AL250" s="39"/>
      <c r="AM250" s="39"/>
      <c r="AN250" s="39"/>
      <c r="AO250" s="41"/>
      <c r="AP250" s="40"/>
      <c r="AQ250" s="41"/>
      <c r="AR250" s="258"/>
    </row>
    <row r="251" spans="3:44" s="37" customFormat="1" ht="12" x14ac:dyDescent="0.2">
      <c r="C251" s="38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39"/>
      <c r="AL251" s="39"/>
      <c r="AM251" s="39"/>
      <c r="AN251" s="39"/>
      <c r="AO251" s="41"/>
      <c r="AP251" s="40"/>
      <c r="AQ251" s="41"/>
      <c r="AR251" s="258"/>
    </row>
    <row r="252" spans="3:44" s="37" customFormat="1" ht="12" x14ac:dyDescent="0.2">
      <c r="C252" s="38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39"/>
      <c r="AN252" s="39"/>
      <c r="AO252" s="41"/>
      <c r="AP252" s="40"/>
      <c r="AQ252" s="41"/>
      <c r="AR252" s="258"/>
    </row>
    <row r="253" spans="3:44" x14ac:dyDescent="0.25"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7"/>
      <c r="AP253" s="23"/>
      <c r="AQ253" s="27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  <pageSetUpPr fitToPage="1"/>
  </sheetPr>
  <dimension ref="A1:AD277"/>
  <sheetViews>
    <sheetView workbookViewId="0">
      <selection sqref="A1:XFD1048576"/>
    </sheetView>
  </sheetViews>
  <sheetFormatPr defaultColWidth="8.85546875" defaultRowHeight="15" x14ac:dyDescent="0.25"/>
  <cols>
    <col min="1" max="1" width="4.85546875" style="14" customWidth="1"/>
    <col min="2" max="2" width="3.140625" style="14" customWidth="1"/>
    <col min="3" max="3" width="7.85546875" style="20" customWidth="1"/>
    <col min="4" max="4" width="31.85546875" style="14" customWidth="1"/>
    <col min="5" max="16" width="8.85546875" style="14"/>
    <col min="17" max="17" width="8.85546875" style="22"/>
    <col min="18" max="18" width="2.140625" style="28" customWidth="1"/>
    <col min="19" max="19" width="11.140625" style="359" bestFit="1" customWidth="1"/>
    <col min="20" max="20" width="2.140625" style="28" customWidth="1"/>
    <col min="21" max="21" width="11.140625" style="368" bestFit="1" customWidth="1"/>
    <col min="22" max="22" width="2.140625" style="28" customWidth="1"/>
    <col min="23" max="23" width="11.140625" style="368" bestFit="1" customWidth="1"/>
    <col min="24" max="24" width="9" style="368" bestFit="1" customWidth="1"/>
    <col min="25" max="25" width="2.140625" style="28" customWidth="1"/>
    <col min="26" max="26" width="11.140625" style="368" bestFit="1" customWidth="1"/>
    <col min="27" max="27" width="9" style="368" bestFit="1" customWidth="1"/>
    <col min="28" max="28" width="2.140625" style="28" customWidth="1"/>
    <col min="29" max="29" width="8.85546875" style="14"/>
    <col min="30" max="30" width="9.5703125" style="14" bestFit="1" customWidth="1"/>
    <col min="31" max="16384" width="8.85546875" style="14"/>
  </cols>
  <sheetData>
    <row r="1" spans="1:30" s="1" customFormat="1" ht="21" x14ac:dyDescent="0.35">
      <c r="A1" s="11" t="str">
        <f>'Rev &amp; Enroll'!$F$5</f>
        <v>Nevada State High School (CSO)</v>
      </c>
      <c r="B1" s="11"/>
      <c r="C1" s="17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4"/>
      <c r="R1" s="24"/>
      <c r="S1" s="352"/>
      <c r="T1" s="29"/>
      <c r="U1" s="277"/>
      <c r="V1" s="24"/>
      <c r="W1" s="277"/>
      <c r="X1" s="277"/>
      <c r="Y1" s="29"/>
      <c r="Z1" s="277"/>
      <c r="AA1" s="277"/>
      <c r="AB1" s="29"/>
      <c r="AC1" s="2"/>
      <c r="AD1" s="2"/>
    </row>
    <row r="2" spans="1:30" s="1" customFormat="1" x14ac:dyDescent="0.25">
      <c r="A2" s="12" t="str">
        <f>CONCATENATE("Monthly Cash Flow/Budget"," ",MYP!E4)</f>
        <v>Monthly Cash Flow/Budget FY21</v>
      </c>
      <c r="B2" s="12"/>
      <c r="C2" s="17"/>
      <c r="D2" s="13"/>
      <c r="E2" s="2"/>
      <c r="F2" s="2"/>
      <c r="G2" s="2"/>
      <c r="H2" s="2"/>
      <c r="I2" s="2"/>
      <c r="J2" s="2"/>
      <c r="M2" s="2"/>
      <c r="N2" s="2"/>
      <c r="O2" s="2"/>
      <c r="Q2" s="8"/>
      <c r="R2" s="25"/>
      <c r="S2" s="277"/>
      <c r="T2" s="29"/>
      <c r="U2" s="360"/>
      <c r="V2" s="29"/>
      <c r="W2" s="360"/>
      <c r="X2" s="360"/>
      <c r="Y2" s="29"/>
      <c r="Z2" s="360"/>
      <c r="AA2" s="360"/>
      <c r="AB2" s="29"/>
      <c r="AC2" s="4"/>
      <c r="AD2" s="4"/>
    </row>
    <row r="3" spans="1:30" s="6" customFormat="1" ht="13.5" customHeight="1" x14ac:dyDescent="0.2">
      <c r="A3" s="5" t="s">
        <v>588</v>
      </c>
      <c r="B3" s="5"/>
      <c r="C3" s="1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8"/>
      <c r="R3" s="25"/>
      <c r="S3" s="278"/>
      <c r="T3" s="31"/>
      <c r="U3" s="278"/>
      <c r="V3" s="30"/>
      <c r="W3" s="278"/>
      <c r="X3" s="278"/>
      <c r="Y3" s="31"/>
      <c r="Z3" s="278"/>
      <c r="AA3" s="278"/>
      <c r="AB3" s="31"/>
      <c r="AC3" s="7"/>
      <c r="AD3" s="7"/>
    </row>
    <row r="4" spans="1:30" s="9" customFormat="1" ht="29.45" customHeight="1" x14ac:dyDescent="0.25">
      <c r="C4" s="19"/>
      <c r="D4" s="10"/>
      <c r="E4" s="600">
        <v>44013</v>
      </c>
      <c r="F4" s="33">
        <f>E4+31</f>
        <v>44044</v>
      </c>
      <c r="G4" s="33">
        <f t="shared" ref="G4:P4" si="0">F4+31</f>
        <v>44075</v>
      </c>
      <c r="H4" s="33">
        <f t="shared" si="0"/>
        <v>44106</v>
      </c>
      <c r="I4" s="33">
        <f t="shared" si="0"/>
        <v>44137</v>
      </c>
      <c r="J4" s="33">
        <f t="shared" si="0"/>
        <v>44168</v>
      </c>
      <c r="K4" s="33">
        <f t="shared" si="0"/>
        <v>44199</v>
      </c>
      <c r="L4" s="33">
        <f t="shared" si="0"/>
        <v>44230</v>
      </c>
      <c r="M4" s="33">
        <f t="shared" si="0"/>
        <v>44261</v>
      </c>
      <c r="N4" s="33">
        <f t="shared" si="0"/>
        <v>44292</v>
      </c>
      <c r="O4" s="33">
        <f t="shared" si="0"/>
        <v>44323</v>
      </c>
      <c r="P4" s="56">
        <f t="shared" si="0"/>
        <v>44354</v>
      </c>
      <c r="Q4" s="35" t="s">
        <v>54</v>
      </c>
      <c r="R4" s="26"/>
      <c r="S4" s="353" t="s">
        <v>55</v>
      </c>
      <c r="T4" s="32"/>
      <c r="U4" s="361" t="s">
        <v>522</v>
      </c>
      <c r="V4" s="26"/>
      <c r="W4" s="361" t="s">
        <v>518</v>
      </c>
      <c r="X4" s="361" t="s">
        <v>56</v>
      </c>
      <c r="Y4" s="32"/>
      <c r="Z4" s="361" t="s">
        <v>106</v>
      </c>
      <c r="AA4" s="361" t="s">
        <v>56</v>
      </c>
      <c r="AB4" s="32"/>
      <c r="AC4" s="33" t="s">
        <v>252</v>
      </c>
      <c r="AD4" s="33" t="s">
        <v>253</v>
      </c>
    </row>
    <row r="5" spans="1:30" s="9" customFormat="1" ht="12" x14ac:dyDescent="0.2">
      <c r="C5" s="19"/>
      <c r="D5" s="207" t="s">
        <v>184</v>
      </c>
      <c r="E5" s="323">
        <f>IF(('Rev &amp; Enroll'!$F37*'Rev &amp; Enroll'!$F24)&gt;500000,100%/12,0)</f>
        <v>8.3333333333333329E-2</v>
      </c>
      <c r="F5" s="323">
        <f>IF(('Rev &amp; Enroll'!$F37*'Rev &amp; Enroll'!$F24)&gt;500000,100%/12,0.25)</f>
        <v>8.3333333333333329E-2</v>
      </c>
      <c r="G5" s="323">
        <f>IF(('Rev &amp; Enroll'!$F37*'Rev &amp; Enroll'!$F24)&gt;500000,100%/12,0)</f>
        <v>8.3333333333333329E-2</v>
      </c>
      <c r="H5" s="323">
        <f>IF(('Rev &amp; Enroll'!$F37*'Rev &amp; Enroll'!$F24)&gt;500000,100%/12,0)</f>
        <v>8.3333333333333329E-2</v>
      </c>
      <c r="I5" s="323">
        <f>IF(('Rev &amp; Enroll'!$F37*'Rev &amp; Enroll'!$F24)&gt;500000,100%/12,0.25)</f>
        <v>8.3333333333333329E-2</v>
      </c>
      <c r="J5" s="323">
        <f>IF(('Rev &amp; Enroll'!$F37*'Rev &amp; Enroll'!$F24)&gt;500000,100%/12,0)</f>
        <v>8.3333333333333329E-2</v>
      </c>
      <c r="K5" s="323">
        <f>IF(('Rev &amp; Enroll'!$F37*'Rev &amp; Enroll'!$F24)&gt;500000,100%/12,0)</f>
        <v>8.3333333333333329E-2</v>
      </c>
      <c r="L5" s="323">
        <f>IF(('Rev &amp; Enroll'!$F37*'Rev &amp; Enroll'!$F24)&gt;500000,100%/12,0.25)</f>
        <v>8.3333333333333329E-2</v>
      </c>
      <c r="M5" s="323">
        <f>IF(('Rev &amp; Enroll'!$F37*'Rev &amp; Enroll'!$F24)&gt;500000,100%/12,0)</f>
        <v>8.3333333333333329E-2</v>
      </c>
      <c r="N5" s="323">
        <f>IF(('Rev &amp; Enroll'!$F37*'Rev &amp; Enroll'!$F24)&gt;500000,100%/12,0)</f>
        <v>8.3333333333333329E-2</v>
      </c>
      <c r="O5" s="323">
        <f>IF(('Rev &amp; Enroll'!$F37*'Rev &amp; Enroll'!$F24)&gt;500000,100%/12,0.25)</f>
        <v>8.3333333333333329E-2</v>
      </c>
      <c r="P5" s="323">
        <f>IF(('Rev &amp; Enroll'!$F37*'Rev &amp; Enroll'!$F24)&gt;500000,0.08333,0)</f>
        <v>8.3330000000000001E-2</v>
      </c>
      <c r="Q5" s="221">
        <f>1-SUM(E5:P5)</f>
        <v>3.3333333332441484E-6</v>
      </c>
      <c r="R5" s="41"/>
      <c r="S5" s="354"/>
      <c r="T5" s="32"/>
      <c r="U5" s="362"/>
      <c r="V5" s="41"/>
      <c r="W5" s="362"/>
      <c r="X5" s="362"/>
      <c r="Y5" s="32"/>
      <c r="Z5" s="362"/>
      <c r="AA5" s="362"/>
      <c r="AB5" s="32"/>
      <c r="AC5" s="247"/>
      <c r="AD5" s="247"/>
    </row>
    <row r="6" spans="1:30" s="37" customFormat="1" ht="12" x14ac:dyDescent="0.2">
      <c r="A6" s="45" t="s">
        <v>58</v>
      </c>
      <c r="C6" s="38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6"/>
      <c r="R6" s="41"/>
      <c r="S6" s="354"/>
      <c r="T6" s="41"/>
      <c r="U6" s="362"/>
      <c r="V6" s="41"/>
      <c r="W6" s="362"/>
      <c r="X6" s="362"/>
      <c r="Y6" s="41"/>
      <c r="Z6" s="362"/>
      <c r="AA6" s="362"/>
      <c r="AB6" s="41"/>
      <c r="AC6" s="247"/>
      <c r="AD6" s="247"/>
    </row>
    <row r="7" spans="1:30" s="37" customFormat="1" ht="12" x14ac:dyDescent="0.2">
      <c r="A7" s="45"/>
      <c r="C7" s="49" t="s">
        <v>171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6"/>
      <c r="R7" s="41"/>
      <c r="S7" s="354"/>
      <c r="T7" s="41"/>
      <c r="U7" s="362"/>
      <c r="V7" s="41"/>
      <c r="W7" s="362"/>
      <c r="X7" s="362"/>
      <c r="Y7" s="41"/>
      <c r="Z7" s="362"/>
      <c r="AA7" s="362"/>
      <c r="AB7" s="41"/>
      <c r="AC7" s="247"/>
      <c r="AD7" s="247"/>
    </row>
    <row r="8" spans="1:30" s="37" customFormat="1" ht="12" x14ac:dyDescent="0.2">
      <c r="A8" s="45"/>
      <c r="C8" s="199">
        <v>1110</v>
      </c>
      <c r="D8" s="37" t="s">
        <v>0</v>
      </c>
      <c r="E8" s="180">
        <f>'Rev &amp; Enroll'!$F$37*'Rev &amp; Enroll'!$F$24*'Rev &amp; Enroll'!$F40*'FY21'!E$5</f>
        <v>39631.68</v>
      </c>
      <c r="F8" s="180">
        <f>'Rev &amp; Enroll'!$F$37*'Rev &amp; Enroll'!$F$24*'Rev &amp; Enroll'!$F40*'FY21'!F$5</f>
        <v>39631.68</v>
      </c>
      <c r="G8" s="180">
        <f>'Rev &amp; Enroll'!$F$37*'Rev &amp; Enroll'!$F$24*'Rev &amp; Enroll'!$F40*'FY21'!G$5</f>
        <v>39631.68</v>
      </c>
      <c r="H8" s="180">
        <f>'Rev &amp; Enroll'!$F$37*'Rev &amp; Enroll'!$F$24*'Rev &amp; Enroll'!$F40*'FY21'!H$5</f>
        <v>39631.68</v>
      </c>
      <c r="I8" s="180">
        <f>'Rev &amp; Enroll'!$F$37*'Rev &amp; Enroll'!$F$24*'Rev &amp; Enroll'!$F40*'FY21'!I$5</f>
        <v>39631.68</v>
      </c>
      <c r="J8" s="180">
        <f>'Rev &amp; Enroll'!$F$37*'Rev &amp; Enroll'!$F$24*'Rev &amp; Enroll'!$F40*'FY21'!J$5</f>
        <v>39631.68</v>
      </c>
      <c r="K8" s="180">
        <f>'Rev &amp; Enroll'!$F$37*'Rev &amp; Enroll'!$F$24*'Rev &amp; Enroll'!$F40*'FY21'!K$5</f>
        <v>39631.68</v>
      </c>
      <c r="L8" s="180">
        <f>'Rev &amp; Enroll'!$F$37*'Rev &amp; Enroll'!$F$24*'Rev &amp; Enroll'!$F40*'FY21'!L$5</f>
        <v>39631.68</v>
      </c>
      <c r="M8" s="180">
        <f>'Rev &amp; Enroll'!$F$37*'Rev &amp; Enroll'!$F$24*'Rev &amp; Enroll'!$F40*'FY21'!M$5</f>
        <v>39631.68</v>
      </c>
      <c r="N8" s="180">
        <f>'Rev &amp; Enroll'!$F$37*'Rev &amp; Enroll'!$F$24*'Rev &amp; Enroll'!$F40*'FY21'!N$5</f>
        <v>39631.68</v>
      </c>
      <c r="O8" s="180">
        <f>'Rev &amp; Enroll'!$F$37*'Rev &amp; Enroll'!$F$24*'Rev &amp; Enroll'!$F40*'FY21'!O$5</f>
        <v>39631.68</v>
      </c>
      <c r="P8" s="180">
        <f>'Rev &amp; Enroll'!$F$37*'Rev &amp; Enroll'!$F$24*'Rev &amp; Enroll'!$F40*'FY21'!P$5</f>
        <v>39630.094732800004</v>
      </c>
      <c r="Q8" s="98"/>
      <c r="R8" s="186"/>
      <c r="S8" s="354">
        <f>SUM(E8:Q8)</f>
        <v>475578.57473280001</v>
      </c>
      <c r="T8" s="41"/>
      <c r="U8" s="362">
        <f>SUM(E8:L8)</f>
        <v>317053.44</v>
      </c>
      <c r="V8" s="186"/>
      <c r="W8" s="362">
        <v>153964.80000000002</v>
      </c>
      <c r="X8" s="362">
        <f>S8-W8</f>
        <v>321613.77473279997</v>
      </c>
      <c r="Y8" s="41"/>
      <c r="Z8" s="362">
        <v>212256</v>
      </c>
      <c r="AA8" s="362">
        <f>S8-Z8</f>
        <v>263322.57473280001</v>
      </c>
      <c r="AB8" s="41"/>
      <c r="AC8" s="248">
        <v>0</v>
      </c>
      <c r="AD8" s="248">
        <f>S8-AC8</f>
        <v>475578.57473280001</v>
      </c>
    </row>
    <row r="9" spans="1:30" s="37" customFormat="1" ht="12" x14ac:dyDescent="0.2">
      <c r="A9" s="45"/>
      <c r="C9" s="199">
        <v>1120</v>
      </c>
      <c r="D9" s="37" t="s">
        <v>1</v>
      </c>
      <c r="E9" s="39">
        <f>'Rev &amp; Enroll'!$F$37*'Rev &amp; Enroll'!$F$24*'Rev &amp; Enroll'!$F41*'FY21'!E$5</f>
        <v>43534.799999999996</v>
      </c>
      <c r="F9" s="39">
        <f>'Rev &amp; Enroll'!$F$37*'Rev &amp; Enroll'!$F$24*'Rev &amp; Enroll'!$F41*'FY21'!F$5</f>
        <v>43534.799999999996</v>
      </c>
      <c r="G9" s="39">
        <f>'Rev &amp; Enroll'!$F$37*'Rev &amp; Enroll'!$F$24*'Rev &amp; Enroll'!$F41*'FY21'!G$5</f>
        <v>43534.799999999996</v>
      </c>
      <c r="H9" s="39">
        <f>'Rev &amp; Enroll'!$F$37*'Rev &amp; Enroll'!$F$24*'Rev &amp; Enroll'!$F41*'FY21'!H$5</f>
        <v>43534.799999999996</v>
      </c>
      <c r="I9" s="39">
        <f>'Rev &amp; Enroll'!$F$37*'Rev &amp; Enroll'!$F$24*'Rev &amp; Enroll'!$F41*'FY21'!I$5</f>
        <v>43534.799999999996</v>
      </c>
      <c r="J9" s="39">
        <f>'Rev &amp; Enroll'!$F$37*'Rev &amp; Enroll'!$F$24*'Rev &amp; Enroll'!$F41*'FY21'!J$5</f>
        <v>43534.799999999996</v>
      </c>
      <c r="K9" s="39">
        <f>'Rev &amp; Enroll'!$F$37*'Rev &amp; Enroll'!$F$24*'Rev &amp; Enroll'!$F41*'FY21'!K$5</f>
        <v>43534.799999999996</v>
      </c>
      <c r="L9" s="39">
        <f>'Rev &amp; Enroll'!$F$37*'Rev &amp; Enroll'!$F$24*'Rev &amp; Enroll'!$F41*'FY21'!L$5</f>
        <v>43534.799999999996</v>
      </c>
      <c r="M9" s="39">
        <f>'Rev &amp; Enroll'!$F$37*'Rev &amp; Enroll'!$F$24*'Rev &amp; Enroll'!$F41*'FY21'!M$5</f>
        <v>43534.799999999996</v>
      </c>
      <c r="N9" s="39">
        <f>'Rev &amp; Enroll'!$F$37*'Rev &amp; Enroll'!$F$24*'Rev &amp; Enroll'!$F41*'FY21'!N$5</f>
        <v>43534.799999999996</v>
      </c>
      <c r="O9" s="39">
        <f>'Rev &amp; Enroll'!$F$37*'Rev &amp; Enroll'!$F$24*'Rev &amp; Enroll'!$F41*'FY21'!O$5</f>
        <v>43534.799999999996</v>
      </c>
      <c r="P9" s="39">
        <f>'Rev &amp; Enroll'!$F$37*'Rev &amp; Enroll'!$F$24*'Rev &amp; Enroll'!$F41*'FY21'!P$5</f>
        <v>43533.058607999999</v>
      </c>
      <c r="Q9" s="98"/>
      <c r="R9" s="41"/>
      <c r="S9" s="354">
        <f t="shared" ref="S9:S12" si="1">SUM(E9:Q9)</f>
        <v>522415.85860799992</v>
      </c>
      <c r="T9" s="41"/>
      <c r="U9" s="362">
        <f t="shared" ref="U9:U70" si="2">SUM(E9:L9)</f>
        <v>348278.39999999997</v>
      </c>
      <c r="V9" s="41"/>
      <c r="W9" s="362">
        <v>169128</v>
      </c>
      <c r="X9" s="362">
        <f t="shared" ref="X9:X12" si="3">S9-W9</f>
        <v>353287.85860799992</v>
      </c>
      <c r="Y9" s="41"/>
      <c r="Z9" s="362">
        <v>233159.99999999997</v>
      </c>
      <c r="AA9" s="362">
        <f>S9-Z9</f>
        <v>289255.85860799998</v>
      </c>
      <c r="AB9" s="41"/>
      <c r="AC9" s="247">
        <v>0</v>
      </c>
      <c r="AD9" s="247">
        <f>S9-AC9</f>
        <v>522415.85860799992</v>
      </c>
    </row>
    <row r="10" spans="1:30" s="37" customFormat="1" ht="12" x14ac:dyDescent="0.2">
      <c r="A10" s="45"/>
      <c r="C10" s="199">
        <v>1191</v>
      </c>
      <c r="D10" s="37" t="s">
        <v>2</v>
      </c>
      <c r="E10" s="39">
        <f>'Rev &amp; Enroll'!$F$37*'Rev &amp; Enroll'!$F$24*'Rev &amp; Enroll'!$F42*'FY21'!E$5</f>
        <v>150.12</v>
      </c>
      <c r="F10" s="39">
        <f>'Rev &amp; Enroll'!$F$37*'Rev &amp; Enroll'!$F$24*'Rev &amp; Enroll'!$F42*'FY21'!F$5</f>
        <v>150.12</v>
      </c>
      <c r="G10" s="39">
        <f>'Rev &amp; Enroll'!$F$37*'Rev &amp; Enroll'!$F$24*'Rev &amp; Enroll'!$F42*'FY21'!G$5</f>
        <v>150.12</v>
      </c>
      <c r="H10" s="39">
        <f>'Rev &amp; Enroll'!$F$37*'Rev &amp; Enroll'!$F$24*'Rev &amp; Enroll'!$F42*'FY21'!H$5</f>
        <v>150.12</v>
      </c>
      <c r="I10" s="39">
        <f>'Rev &amp; Enroll'!$F$37*'Rev &amp; Enroll'!$F$24*'Rev &amp; Enroll'!$F42*'FY21'!I$5</f>
        <v>150.12</v>
      </c>
      <c r="J10" s="39">
        <f>'Rev &amp; Enroll'!$F$37*'Rev &amp; Enroll'!$F$24*'Rev &amp; Enroll'!$F42*'FY21'!J$5</f>
        <v>150.12</v>
      </c>
      <c r="K10" s="39">
        <f>'Rev &amp; Enroll'!$F$37*'Rev &amp; Enroll'!$F$24*'Rev &amp; Enroll'!$F42*'FY21'!K$5</f>
        <v>150.12</v>
      </c>
      <c r="L10" s="39">
        <f>'Rev &amp; Enroll'!$F$37*'Rev &amp; Enroll'!$F$24*'Rev &amp; Enroll'!$F42*'FY21'!L$5</f>
        <v>150.12</v>
      </c>
      <c r="M10" s="39">
        <f>'Rev &amp; Enroll'!$F$37*'Rev &amp; Enroll'!$F$24*'Rev &amp; Enroll'!$F42*'FY21'!M$5</f>
        <v>150.12</v>
      </c>
      <c r="N10" s="39">
        <f>'Rev &amp; Enroll'!$F$37*'Rev &amp; Enroll'!$F$24*'Rev &amp; Enroll'!$F42*'FY21'!N$5</f>
        <v>150.12</v>
      </c>
      <c r="O10" s="39">
        <f>'Rev &amp; Enroll'!$F$37*'Rev &amp; Enroll'!$F$24*'Rev &amp; Enroll'!$F42*'FY21'!O$5</f>
        <v>150.12</v>
      </c>
      <c r="P10" s="39">
        <f>'Rev &amp; Enroll'!$F$37*'Rev &amp; Enroll'!$F$24*'Rev &amp; Enroll'!$F42*'FY21'!P$5</f>
        <v>150.11399520000001</v>
      </c>
      <c r="Q10" s="98"/>
      <c r="R10" s="41"/>
      <c r="S10" s="354">
        <f t="shared" si="1"/>
        <v>1801.4339951999998</v>
      </c>
      <c r="T10" s="41"/>
      <c r="U10" s="362">
        <f t="shared" si="2"/>
        <v>1200.96</v>
      </c>
      <c r="V10" s="41"/>
      <c r="W10" s="362">
        <v>583.20000000000005</v>
      </c>
      <c r="X10" s="362">
        <f t="shared" si="3"/>
        <v>1218.2339951999998</v>
      </c>
      <c r="Y10" s="41"/>
      <c r="Z10" s="362">
        <v>804</v>
      </c>
      <c r="AA10" s="362">
        <f>S10-Z10</f>
        <v>997.4339951999998</v>
      </c>
      <c r="AB10" s="41"/>
      <c r="AC10" s="247">
        <v>0</v>
      </c>
      <c r="AD10" s="247">
        <f>S10-AC10</f>
        <v>1801.4339951999998</v>
      </c>
    </row>
    <row r="11" spans="1:30" s="37" customFormat="1" ht="12" x14ac:dyDescent="0.2">
      <c r="A11" s="45"/>
      <c r="C11" s="199">
        <v>1192</v>
      </c>
      <c r="D11" s="37" t="s">
        <v>3</v>
      </c>
      <c r="E11" s="39">
        <f>'Rev &amp; Enroll'!$F$37*'Rev &amp; Enroll'!$F$24*'Rev &amp; Enroll'!$F43*'FY21'!E$5</f>
        <v>4653.7199999999993</v>
      </c>
      <c r="F11" s="39">
        <f>'Rev &amp; Enroll'!$F$37*'Rev &amp; Enroll'!$F$24*'Rev &amp; Enroll'!$F43*'FY21'!F$5</f>
        <v>4653.7199999999993</v>
      </c>
      <c r="G11" s="39">
        <f>'Rev &amp; Enroll'!$F$37*'Rev &amp; Enroll'!$F$24*'Rev &amp; Enroll'!$F43*'FY21'!G$5</f>
        <v>4653.7199999999993</v>
      </c>
      <c r="H11" s="39">
        <f>'Rev &amp; Enroll'!$F$37*'Rev &amp; Enroll'!$F$24*'Rev &amp; Enroll'!$F43*'FY21'!H$5</f>
        <v>4653.7199999999993</v>
      </c>
      <c r="I11" s="39">
        <f>'Rev &amp; Enroll'!$F$37*'Rev &amp; Enroll'!$F$24*'Rev &amp; Enroll'!$F43*'FY21'!I$5</f>
        <v>4653.7199999999993</v>
      </c>
      <c r="J11" s="39">
        <f>'Rev &amp; Enroll'!$F$37*'Rev &amp; Enroll'!$F$24*'Rev &amp; Enroll'!$F43*'FY21'!J$5</f>
        <v>4653.7199999999993</v>
      </c>
      <c r="K11" s="39">
        <f>'Rev &amp; Enroll'!$F$37*'Rev &amp; Enroll'!$F$24*'Rev &amp; Enroll'!$F43*'FY21'!K$5</f>
        <v>4653.7199999999993</v>
      </c>
      <c r="L11" s="39">
        <f>'Rev &amp; Enroll'!$F$37*'Rev &amp; Enroll'!$F$24*'Rev &amp; Enroll'!$F43*'FY21'!L$5</f>
        <v>4653.7199999999993</v>
      </c>
      <c r="M11" s="39">
        <f>'Rev &amp; Enroll'!$F$37*'Rev &amp; Enroll'!$F$24*'Rev &amp; Enroll'!$F43*'FY21'!M$5</f>
        <v>4653.7199999999993</v>
      </c>
      <c r="N11" s="39">
        <f>'Rev &amp; Enroll'!$F$37*'Rev &amp; Enroll'!$F$24*'Rev &amp; Enroll'!$F43*'FY21'!N$5</f>
        <v>4653.7199999999993</v>
      </c>
      <c r="O11" s="39">
        <f>'Rev &amp; Enroll'!$F$37*'Rev &amp; Enroll'!$F$24*'Rev &amp; Enroll'!$F43*'FY21'!O$5</f>
        <v>4653.7199999999993</v>
      </c>
      <c r="P11" s="39">
        <f>'Rev &amp; Enroll'!$F$37*'Rev &amp; Enroll'!$F$24*'Rev &amp; Enroll'!$F43*'FY21'!P$5</f>
        <v>4653.5338511999998</v>
      </c>
      <c r="Q11" s="98"/>
      <c r="R11" s="41"/>
      <c r="S11" s="354">
        <f t="shared" si="1"/>
        <v>55844.453851200007</v>
      </c>
      <c r="T11" s="41"/>
      <c r="U11" s="362">
        <f t="shared" si="2"/>
        <v>37229.760000000002</v>
      </c>
      <c r="V11" s="41"/>
      <c r="W11" s="362">
        <v>18079.2</v>
      </c>
      <c r="X11" s="362">
        <f t="shared" si="3"/>
        <v>37765.253851200003</v>
      </c>
      <c r="Y11" s="41"/>
      <c r="Z11" s="362">
        <v>24924</v>
      </c>
      <c r="AA11" s="362">
        <f>S11-Z11</f>
        <v>30920.453851200007</v>
      </c>
      <c r="AB11" s="41"/>
      <c r="AC11" s="247">
        <v>0</v>
      </c>
      <c r="AD11" s="247">
        <f>S11-AC11</f>
        <v>55844.453851200007</v>
      </c>
    </row>
    <row r="12" spans="1:30" s="37" customFormat="1" ht="12" x14ac:dyDescent="0.2">
      <c r="A12" s="45"/>
      <c r="C12" s="199">
        <v>3110</v>
      </c>
      <c r="D12" s="37" t="s">
        <v>73</v>
      </c>
      <c r="E12" s="39">
        <f>'Rev &amp; Enroll'!$F$37*'Rev &amp; Enroll'!$F$24*'Rev &amp; Enroll'!$F44*'FY21'!E$5</f>
        <v>62149.679999999993</v>
      </c>
      <c r="F12" s="39">
        <f>'Rev &amp; Enroll'!$F$37*'Rev &amp; Enroll'!$F$24*'Rev &amp; Enroll'!$F44*'FY21'!F$5</f>
        <v>62149.679999999993</v>
      </c>
      <c r="G12" s="39">
        <f>'Rev &amp; Enroll'!$F$37*'Rev &amp; Enroll'!$F$24*'Rev &amp; Enroll'!$F44*'FY21'!G$5</f>
        <v>62149.679999999993</v>
      </c>
      <c r="H12" s="39">
        <f>'Rev &amp; Enroll'!$F$37*'Rev &amp; Enroll'!$F$24*'Rev &amp; Enroll'!$F44*'FY21'!H$5</f>
        <v>62149.679999999993</v>
      </c>
      <c r="I12" s="39">
        <f>'Rev &amp; Enroll'!$F$37*'Rev &amp; Enroll'!$F$24*'Rev &amp; Enroll'!$F44*'FY21'!I$5</f>
        <v>62149.679999999993</v>
      </c>
      <c r="J12" s="39">
        <f>'Rev &amp; Enroll'!$F$37*'Rev &amp; Enroll'!$F$24*'Rev &amp; Enroll'!$F44*'FY21'!J$5</f>
        <v>62149.679999999993</v>
      </c>
      <c r="K12" s="39">
        <f>'Rev &amp; Enroll'!$F$37*'Rev &amp; Enroll'!$F$24*'Rev &amp; Enroll'!$F44*'FY21'!K$5</f>
        <v>62149.679999999993</v>
      </c>
      <c r="L12" s="39">
        <f>'Rev &amp; Enroll'!$F$37*'Rev &amp; Enroll'!$F$24*'Rev &amp; Enroll'!$F44*'FY21'!L$5</f>
        <v>62149.679999999993</v>
      </c>
      <c r="M12" s="39">
        <f>'Rev &amp; Enroll'!$F$37*'Rev &amp; Enroll'!$F$24*'Rev &amp; Enroll'!$F44*'FY21'!M$5</f>
        <v>62149.679999999993</v>
      </c>
      <c r="N12" s="39">
        <f>'Rev &amp; Enroll'!$F$37*'Rev &amp; Enroll'!$F$24*'Rev &amp; Enroll'!$F44*'FY21'!N$5</f>
        <v>62149.679999999993</v>
      </c>
      <c r="O12" s="39">
        <f>'Rev &amp; Enroll'!$F$37*'Rev &amp; Enroll'!$F$24*'Rev &amp; Enroll'!$F44*'FY21'!O$5</f>
        <v>62149.679999999993</v>
      </c>
      <c r="P12" s="39">
        <f>'Rev &amp; Enroll'!$F$37*'Rev &amp; Enroll'!$F$24*'Rev &amp; Enroll'!$F44*'FY21'!P$5</f>
        <v>62147.194012799991</v>
      </c>
      <c r="Q12" s="98"/>
      <c r="R12" s="41"/>
      <c r="S12" s="354">
        <f t="shared" si="1"/>
        <v>745793.67401279975</v>
      </c>
      <c r="T12" s="41"/>
      <c r="U12" s="362">
        <f t="shared" si="2"/>
        <v>497197.43999999994</v>
      </c>
      <c r="V12" s="41"/>
      <c r="W12" s="362">
        <v>241444.8</v>
      </c>
      <c r="X12" s="362">
        <f t="shared" si="3"/>
        <v>504348.87401279976</v>
      </c>
      <c r="Y12" s="41"/>
      <c r="Z12" s="362">
        <v>332856</v>
      </c>
      <c r="AA12" s="362">
        <f>S12-Z12</f>
        <v>412937.67401279975</v>
      </c>
      <c r="AB12" s="41"/>
      <c r="AC12" s="247">
        <v>0</v>
      </c>
      <c r="AD12" s="247">
        <f>S12-AC12</f>
        <v>745793.67401279975</v>
      </c>
    </row>
    <row r="13" spans="1:30" s="37" customFormat="1" ht="12" x14ac:dyDescent="0.2">
      <c r="A13" s="45"/>
      <c r="C13" s="38"/>
      <c r="E13" s="50">
        <f t="shared" ref="E13:O13" si="4">SUBTOTAL(9,E8:E12)</f>
        <v>150120</v>
      </c>
      <c r="F13" s="50">
        <f t="shared" si="4"/>
        <v>150120</v>
      </c>
      <c r="G13" s="50">
        <f t="shared" si="4"/>
        <v>150120</v>
      </c>
      <c r="H13" s="50">
        <f t="shared" si="4"/>
        <v>150120</v>
      </c>
      <c r="I13" s="50">
        <f t="shared" si="4"/>
        <v>150120</v>
      </c>
      <c r="J13" s="50">
        <f t="shared" si="4"/>
        <v>150120</v>
      </c>
      <c r="K13" s="50">
        <f t="shared" si="4"/>
        <v>150120</v>
      </c>
      <c r="L13" s="50">
        <f t="shared" si="4"/>
        <v>150120</v>
      </c>
      <c r="M13" s="50">
        <f t="shared" si="4"/>
        <v>150120</v>
      </c>
      <c r="N13" s="50">
        <f t="shared" si="4"/>
        <v>150120</v>
      </c>
      <c r="O13" s="50">
        <f t="shared" si="4"/>
        <v>150120</v>
      </c>
      <c r="P13" s="50">
        <f t="shared" ref="P13" si="5">SUBTOTAL(9,P8:P12)</f>
        <v>150113.99519999998</v>
      </c>
      <c r="Q13" s="99"/>
      <c r="R13" s="41"/>
      <c r="S13" s="355">
        <f>SUBTOTAL(9,S8:S12)</f>
        <v>1801433.9951999998</v>
      </c>
      <c r="T13" s="41"/>
      <c r="U13" s="363">
        <f t="shared" si="2"/>
        <v>1200960</v>
      </c>
      <c r="V13" s="41"/>
      <c r="W13" s="363">
        <v>583200</v>
      </c>
      <c r="X13" s="363">
        <f>SUBTOTAL(9,X8:X12)</f>
        <v>1218233.9951999998</v>
      </c>
      <c r="Y13" s="41"/>
      <c r="Z13" s="363">
        <v>804000</v>
      </c>
      <c r="AA13" s="363">
        <f t="shared" ref="AA13" si="6">SUBTOTAL(9,AA8:AA12)</f>
        <v>997433.99519999977</v>
      </c>
      <c r="AB13" s="41"/>
      <c r="AC13" s="249">
        <f t="shared" ref="AC13:AD13" si="7">SUBTOTAL(9,AC8:AC12)</f>
        <v>0</v>
      </c>
      <c r="AD13" s="249">
        <f t="shared" si="7"/>
        <v>1801433.9951999998</v>
      </c>
    </row>
    <row r="14" spans="1:30" s="37" customFormat="1" ht="12" x14ac:dyDescent="0.2">
      <c r="A14" s="45"/>
      <c r="C14" s="49" t="s">
        <v>170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98"/>
      <c r="R14" s="41"/>
      <c r="S14" s="354"/>
      <c r="T14" s="41"/>
      <c r="U14" s="362">
        <f t="shared" si="2"/>
        <v>0</v>
      </c>
      <c r="V14" s="41"/>
      <c r="W14" s="362"/>
      <c r="X14" s="362"/>
      <c r="Y14" s="41"/>
      <c r="Z14" s="362"/>
      <c r="AA14" s="362"/>
      <c r="AB14" s="41"/>
      <c r="AC14" s="247"/>
      <c r="AD14" s="247"/>
    </row>
    <row r="15" spans="1:30" s="37" customFormat="1" ht="12" x14ac:dyDescent="0.2">
      <c r="A15" s="45"/>
      <c r="C15" s="199">
        <v>3115</v>
      </c>
      <c r="D15" s="37" t="s">
        <v>5</v>
      </c>
      <c r="E15" s="39">
        <v>0</v>
      </c>
      <c r="F15" s="39">
        <v>0</v>
      </c>
      <c r="G15" s="39">
        <v>0</v>
      </c>
      <c r="H15" s="654">
        <f>'Rev &amp; Enroll'!$F$48/4</f>
        <v>0</v>
      </c>
      <c r="I15" s="39">
        <v>0</v>
      </c>
      <c r="J15" s="39">
        <v>0</v>
      </c>
      <c r="K15" s="39">
        <v>0</v>
      </c>
      <c r="L15" s="654">
        <f>'Rev &amp; Enroll'!$F$48/4</f>
        <v>0</v>
      </c>
      <c r="M15" s="39">
        <v>0</v>
      </c>
      <c r="N15" s="654">
        <f>'Rev &amp; Enroll'!$F$48/4</f>
        <v>0</v>
      </c>
      <c r="O15" s="39">
        <v>0</v>
      </c>
      <c r="P15" s="654">
        <f>'Rev &amp; Enroll'!$F$48/4</f>
        <v>0</v>
      </c>
      <c r="Q15" s="98"/>
      <c r="R15" s="41"/>
      <c r="S15" s="354">
        <f>SUM(E15:Q15)</f>
        <v>0</v>
      </c>
      <c r="T15" s="41"/>
      <c r="U15" s="362">
        <f t="shared" si="2"/>
        <v>0</v>
      </c>
      <c r="V15" s="41"/>
      <c r="W15" s="362">
        <v>3458</v>
      </c>
      <c r="X15" s="362">
        <f t="shared" ref="X15:X16" si="8">S15-W15</f>
        <v>-3458</v>
      </c>
      <c r="Y15" s="41"/>
      <c r="Z15" s="362">
        <v>1250</v>
      </c>
      <c r="AA15" s="362">
        <f>S15-Z15</f>
        <v>-1250</v>
      </c>
      <c r="AB15" s="41"/>
      <c r="AC15" s="247">
        <v>0</v>
      </c>
      <c r="AD15" s="247">
        <f>S15-AC15</f>
        <v>0</v>
      </c>
    </row>
    <row r="16" spans="1:30" s="37" customFormat="1" ht="12" x14ac:dyDescent="0.2">
      <c r="A16" s="45"/>
      <c r="C16" s="199">
        <v>3200</v>
      </c>
      <c r="D16" s="37" t="s">
        <v>6</v>
      </c>
      <c r="E16" s="39">
        <v>0</v>
      </c>
      <c r="F16" s="654">
        <f>'Rev &amp; Enroll'!F51</f>
        <v>0</v>
      </c>
      <c r="G16" s="39">
        <v>0</v>
      </c>
      <c r="H16" s="39">
        <v>0</v>
      </c>
      <c r="I16" s="654">
        <f>'Rev &amp; Enroll'!F50</f>
        <v>0</v>
      </c>
      <c r="J16" s="39">
        <v>0</v>
      </c>
      <c r="K16" s="654">
        <f>'Rev &amp; Enroll'!F52*0.4</f>
        <v>0</v>
      </c>
      <c r="L16" s="39">
        <v>0</v>
      </c>
      <c r="M16" s="654">
        <f>'Rev &amp; Enroll'!F49</f>
        <v>0</v>
      </c>
      <c r="N16" s="39">
        <v>0</v>
      </c>
      <c r="O16" s="654">
        <f>'Rev &amp; Enroll'!F52*0.6</f>
        <v>0</v>
      </c>
      <c r="P16" s="39">
        <v>0</v>
      </c>
      <c r="Q16" s="98"/>
      <c r="R16" s="41"/>
      <c r="S16" s="354">
        <f>SUM(E16:Q16)</f>
        <v>0</v>
      </c>
      <c r="T16" s="41"/>
      <c r="U16" s="362">
        <f t="shared" si="2"/>
        <v>0</v>
      </c>
      <c r="V16" s="41"/>
      <c r="W16" s="362">
        <v>94201.62000000001</v>
      </c>
      <c r="X16" s="362">
        <f t="shared" si="8"/>
        <v>-94201.62000000001</v>
      </c>
      <c r="Y16" s="41"/>
      <c r="Z16" s="362">
        <v>78466.5</v>
      </c>
      <c r="AA16" s="362">
        <f>S16-Z16</f>
        <v>-78466.5</v>
      </c>
      <c r="AB16" s="41"/>
      <c r="AC16" s="247">
        <v>0</v>
      </c>
      <c r="AD16" s="247">
        <f>S16-AC16</f>
        <v>0</v>
      </c>
    </row>
    <row r="17" spans="1:30" s="37" customFormat="1" ht="12" x14ac:dyDescent="0.2">
      <c r="A17" s="45"/>
      <c r="C17" s="38"/>
      <c r="E17" s="50">
        <f t="shared" ref="E17:O17" si="9">SUBTOTAL(9,E15:E16)</f>
        <v>0</v>
      </c>
      <c r="F17" s="50">
        <f t="shared" si="9"/>
        <v>0</v>
      </c>
      <c r="G17" s="50">
        <f t="shared" si="9"/>
        <v>0</v>
      </c>
      <c r="H17" s="50">
        <f t="shared" si="9"/>
        <v>0</v>
      </c>
      <c r="I17" s="50">
        <f t="shared" si="9"/>
        <v>0</v>
      </c>
      <c r="J17" s="50">
        <f t="shared" si="9"/>
        <v>0</v>
      </c>
      <c r="K17" s="50">
        <f t="shared" si="9"/>
        <v>0</v>
      </c>
      <c r="L17" s="50">
        <f t="shared" si="9"/>
        <v>0</v>
      </c>
      <c r="M17" s="50">
        <f t="shared" si="9"/>
        <v>0</v>
      </c>
      <c r="N17" s="50">
        <f t="shared" si="9"/>
        <v>0</v>
      </c>
      <c r="O17" s="50">
        <f t="shared" si="9"/>
        <v>0</v>
      </c>
      <c r="P17" s="50">
        <f t="shared" ref="P17:AA17" si="10">SUBTOTAL(9,P15:P16)</f>
        <v>0</v>
      </c>
      <c r="Q17" s="99"/>
      <c r="R17" s="41"/>
      <c r="S17" s="355">
        <f t="shared" si="10"/>
        <v>0</v>
      </c>
      <c r="T17" s="41"/>
      <c r="U17" s="363">
        <f t="shared" si="2"/>
        <v>0</v>
      </c>
      <c r="V17" s="41"/>
      <c r="W17" s="363">
        <v>97659.62000000001</v>
      </c>
      <c r="X17" s="363">
        <f t="shared" ref="X17" si="11">SUBTOTAL(9,X15:X16)</f>
        <v>-97659.62000000001</v>
      </c>
      <c r="Y17" s="41"/>
      <c r="Z17" s="363">
        <v>79716.5</v>
      </c>
      <c r="AA17" s="363">
        <f t="shared" si="10"/>
        <v>-79716.5</v>
      </c>
      <c r="AB17" s="41"/>
      <c r="AC17" s="249">
        <f t="shared" ref="AC17:AD17" si="12">SUBTOTAL(9,AC15:AC16)</f>
        <v>0</v>
      </c>
      <c r="AD17" s="249">
        <f t="shared" si="12"/>
        <v>0</v>
      </c>
    </row>
    <row r="18" spans="1:30" s="37" customFormat="1" ht="12" x14ac:dyDescent="0.2">
      <c r="A18" s="45"/>
      <c r="C18" s="49" t="s">
        <v>149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100"/>
      <c r="R18" s="41"/>
      <c r="S18" s="354"/>
      <c r="T18" s="41"/>
      <c r="U18" s="362">
        <f t="shared" si="2"/>
        <v>0</v>
      </c>
      <c r="V18" s="41"/>
      <c r="W18" s="362"/>
      <c r="X18" s="362"/>
      <c r="Y18" s="41"/>
      <c r="Z18" s="362"/>
      <c r="AA18" s="362"/>
      <c r="AB18" s="41"/>
      <c r="AC18" s="247"/>
      <c r="AD18" s="247"/>
    </row>
    <row r="19" spans="1:30" s="37" customFormat="1" ht="12" x14ac:dyDescent="0.2">
      <c r="A19" s="45"/>
      <c r="C19" s="199">
        <v>4500</v>
      </c>
      <c r="D19" s="37" t="s">
        <v>6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654">
        <f>'Rev &amp; Enroll'!F57*0.4</f>
        <v>8222</v>
      </c>
      <c r="L19" s="39">
        <v>0</v>
      </c>
      <c r="M19" s="39">
        <v>0</v>
      </c>
      <c r="N19" s="39">
        <v>0</v>
      </c>
      <c r="O19" s="39">
        <v>0</v>
      </c>
      <c r="P19" s="654">
        <f>'Rev &amp; Enroll'!F57*0.5</f>
        <v>10277.5</v>
      </c>
      <c r="Q19" s="98"/>
      <c r="R19" s="41"/>
      <c r="S19" s="354">
        <f t="shared" ref="S19:S20" si="13">SUM(E19:Q19)</f>
        <v>18499.5</v>
      </c>
      <c r="T19" s="41"/>
      <c r="U19" s="362">
        <f t="shared" si="2"/>
        <v>8222</v>
      </c>
      <c r="V19" s="41"/>
      <c r="W19" s="362">
        <v>0</v>
      </c>
      <c r="X19" s="362">
        <f t="shared" ref="X19:X21" si="14">S19-W19</f>
        <v>18499.5</v>
      </c>
      <c r="Y19" s="41"/>
      <c r="Z19" s="362">
        <v>0</v>
      </c>
      <c r="AA19" s="362">
        <f>S19-Z19</f>
        <v>18499.5</v>
      </c>
      <c r="AB19" s="41"/>
      <c r="AC19" s="247">
        <v>0</v>
      </c>
      <c r="AD19" s="247">
        <f>S19-AC19</f>
        <v>18499.5</v>
      </c>
    </row>
    <row r="20" spans="1:30" s="37" customFormat="1" ht="12" x14ac:dyDescent="0.2">
      <c r="A20" s="45"/>
      <c r="C20" s="199">
        <v>4571</v>
      </c>
      <c r="D20" s="37" t="s">
        <v>7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654">
        <f>'Rev &amp; Enroll'!F59*0.4</f>
        <v>2000</v>
      </c>
      <c r="K20" s="39">
        <v>0</v>
      </c>
      <c r="L20" s="39">
        <v>0</v>
      </c>
      <c r="M20" s="39">
        <v>0</v>
      </c>
      <c r="N20" s="39">
        <v>0</v>
      </c>
      <c r="O20" s="654">
        <f>'Rev &amp; Enroll'!F59*0.6</f>
        <v>3000</v>
      </c>
      <c r="P20" s="39">
        <v>0</v>
      </c>
      <c r="Q20" s="98"/>
      <c r="R20" s="41"/>
      <c r="S20" s="356">
        <f t="shared" si="13"/>
        <v>5000</v>
      </c>
      <c r="T20" s="41"/>
      <c r="U20" s="364">
        <f t="shared" si="2"/>
        <v>2000</v>
      </c>
      <c r="V20" s="41"/>
      <c r="W20" s="364">
        <v>0</v>
      </c>
      <c r="X20" s="362">
        <f t="shared" si="14"/>
        <v>5000</v>
      </c>
      <c r="Y20" s="41"/>
      <c r="Z20" s="364">
        <v>0</v>
      </c>
      <c r="AA20" s="364">
        <f>S20-Z20</f>
        <v>5000</v>
      </c>
      <c r="AB20" s="41"/>
      <c r="AC20" s="250">
        <v>0</v>
      </c>
      <c r="AD20" s="250">
        <f>S20-AC20</f>
        <v>5000</v>
      </c>
    </row>
    <row r="21" spans="1:30" s="37" customFormat="1" ht="12" x14ac:dyDescent="0.2">
      <c r="A21" s="45"/>
      <c r="C21" s="38">
        <v>4703</v>
      </c>
      <c r="D21" s="37" t="s">
        <v>185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654">
        <f>'Rev &amp; Enroll'!F60*0.5</f>
        <v>5868.869999999999</v>
      </c>
      <c r="K21" s="39">
        <v>0</v>
      </c>
      <c r="L21" s="39">
        <v>0</v>
      </c>
      <c r="M21" s="39">
        <v>0</v>
      </c>
      <c r="N21" s="39">
        <v>0</v>
      </c>
      <c r="O21" s="654">
        <f>'Rev &amp; Enroll'!F60*0.5</f>
        <v>5868.869999999999</v>
      </c>
      <c r="P21" s="39">
        <v>0</v>
      </c>
      <c r="Q21" s="98"/>
      <c r="R21" s="41"/>
      <c r="S21" s="356">
        <f t="shared" ref="S21" si="15">SUM(E21:Q21)</f>
        <v>11737.739999999998</v>
      </c>
      <c r="T21" s="41"/>
      <c r="U21" s="364">
        <f t="shared" si="2"/>
        <v>5868.869999999999</v>
      </c>
      <c r="V21" s="41"/>
      <c r="W21" s="364">
        <v>0</v>
      </c>
      <c r="X21" s="362">
        <f t="shared" si="14"/>
        <v>11737.739999999998</v>
      </c>
      <c r="Y21" s="41"/>
      <c r="Z21" s="364">
        <v>0</v>
      </c>
      <c r="AA21" s="364">
        <f>S21-Z21</f>
        <v>11737.739999999998</v>
      </c>
      <c r="AB21" s="41"/>
      <c r="AC21" s="250">
        <v>0</v>
      </c>
      <c r="AD21" s="250">
        <f>S21-AC21</f>
        <v>11737.739999999998</v>
      </c>
    </row>
    <row r="22" spans="1:30" s="37" customFormat="1" ht="12" x14ac:dyDescent="0.2">
      <c r="A22" s="45"/>
      <c r="C22" s="38"/>
      <c r="E22" s="50">
        <f t="shared" ref="E22:O22" si="16">SUBTOTAL(9,E19:E21)</f>
        <v>0</v>
      </c>
      <c r="F22" s="50">
        <f t="shared" si="16"/>
        <v>0</v>
      </c>
      <c r="G22" s="50">
        <f t="shared" si="16"/>
        <v>0</v>
      </c>
      <c r="H22" s="50">
        <f t="shared" si="16"/>
        <v>0</v>
      </c>
      <c r="I22" s="50">
        <f t="shared" si="16"/>
        <v>0</v>
      </c>
      <c r="J22" s="50">
        <f t="shared" si="16"/>
        <v>7868.869999999999</v>
      </c>
      <c r="K22" s="50">
        <f t="shared" si="16"/>
        <v>8222</v>
      </c>
      <c r="L22" s="50">
        <f t="shared" si="16"/>
        <v>0</v>
      </c>
      <c r="M22" s="50">
        <f t="shared" si="16"/>
        <v>0</v>
      </c>
      <c r="N22" s="50">
        <f t="shared" si="16"/>
        <v>0</v>
      </c>
      <c r="O22" s="50">
        <f t="shared" si="16"/>
        <v>8868.869999999999</v>
      </c>
      <c r="P22" s="50">
        <f t="shared" ref="P22" si="17">SUBTOTAL(9,P19:P21)</f>
        <v>10277.5</v>
      </c>
      <c r="Q22" s="99"/>
      <c r="R22" s="41"/>
      <c r="S22" s="355">
        <f>SUBTOTAL(9,S19:S21)</f>
        <v>35237.24</v>
      </c>
      <c r="T22" s="41"/>
      <c r="U22" s="363">
        <f t="shared" si="2"/>
        <v>16090.869999999999</v>
      </c>
      <c r="V22" s="41"/>
      <c r="W22" s="363">
        <v>0</v>
      </c>
      <c r="X22" s="363">
        <f>SUBTOTAL(9,X19:X21)</f>
        <v>35237.24</v>
      </c>
      <c r="Y22" s="41"/>
      <c r="Z22" s="363">
        <v>0</v>
      </c>
      <c r="AA22" s="363">
        <f>SUBTOTAL(9,AA19:AA21)</f>
        <v>35237.24</v>
      </c>
      <c r="AB22" s="41"/>
      <c r="AC22" s="249">
        <f>SUBTOTAL(9,AC19:AC21)</f>
        <v>0</v>
      </c>
      <c r="AD22" s="249">
        <f>SUBTOTAL(9,AD19:AD21)</f>
        <v>35237.24</v>
      </c>
    </row>
    <row r="23" spans="1:30" s="37" customFormat="1" ht="12" x14ac:dyDescent="0.2">
      <c r="A23" s="45"/>
      <c r="C23" s="49" t="s">
        <v>150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100"/>
      <c r="R23" s="41"/>
      <c r="S23" s="356"/>
      <c r="T23" s="41"/>
      <c r="U23" s="364">
        <f t="shared" si="2"/>
        <v>0</v>
      </c>
      <c r="V23" s="41"/>
      <c r="W23" s="364"/>
      <c r="X23" s="364"/>
      <c r="Y23" s="41"/>
      <c r="Z23" s="364"/>
      <c r="AA23" s="364"/>
      <c r="AB23" s="41"/>
      <c r="AC23" s="250"/>
      <c r="AD23" s="250"/>
    </row>
    <row r="24" spans="1:30" s="37" customFormat="1" ht="12" x14ac:dyDescent="0.2">
      <c r="A24" s="45"/>
      <c r="C24" s="199">
        <v>1790</v>
      </c>
      <c r="D24" s="37" t="s">
        <v>4</v>
      </c>
      <c r="E24" s="39">
        <v>0</v>
      </c>
      <c r="F24" s="39">
        <v>0</v>
      </c>
      <c r="G24" s="39">
        <v>0</v>
      </c>
      <c r="H24" s="654">
        <f>('Rev &amp; Enroll'!$F$63/4)+('Rev &amp; Enroll'!$F$64/4)</f>
        <v>89640</v>
      </c>
      <c r="I24" s="39">
        <v>0</v>
      </c>
      <c r="J24" s="39">
        <v>0</v>
      </c>
      <c r="K24" s="654">
        <f>('Rev &amp; Enroll'!$F$63/4)+('Rev &amp; Enroll'!$F$64/4)</f>
        <v>89640</v>
      </c>
      <c r="L24" s="39">
        <v>0</v>
      </c>
      <c r="M24" s="39">
        <v>0</v>
      </c>
      <c r="N24" s="654">
        <f>('Rev &amp; Enroll'!$F$63/4)+('Rev &amp; Enroll'!$F$64/4)</f>
        <v>89640</v>
      </c>
      <c r="O24" s="39">
        <v>0</v>
      </c>
      <c r="P24" s="654">
        <f>('Rev &amp; Enroll'!$F$63/4)+('Rev &amp; Enroll'!$F$64/4)</f>
        <v>89640</v>
      </c>
      <c r="Q24" s="98"/>
      <c r="R24" s="41"/>
      <c r="S24" s="354">
        <f>SUM(E24:Q24)</f>
        <v>358560</v>
      </c>
      <c r="T24" s="41"/>
      <c r="U24" s="362">
        <f t="shared" si="2"/>
        <v>179280</v>
      </c>
      <c r="V24" s="41"/>
      <c r="W24" s="362">
        <v>0</v>
      </c>
      <c r="X24" s="362">
        <f t="shared" ref="X24" si="18">S24-W24</f>
        <v>358560</v>
      </c>
      <c r="Y24" s="41"/>
      <c r="Z24" s="362">
        <v>0</v>
      </c>
      <c r="AA24" s="362">
        <f>S24-Z24</f>
        <v>358560</v>
      </c>
      <c r="AB24" s="41"/>
      <c r="AC24" s="247">
        <v>0</v>
      </c>
      <c r="AD24" s="247">
        <f>S24-AC24</f>
        <v>358560</v>
      </c>
    </row>
    <row r="25" spans="1:30" s="37" customFormat="1" ht="12" x14ac:dyDescent="0.2">
      <c r="A25" s="45"/>
      <c r="C25" s="38"/>
      <c r="E25" s="50">
        <f t="shared" ref="E25:P25" si="19">SUBTOTAL(9,E24:E24)</f>
        <v>0</v>
      </c>
      <c r="F25" s="50">
        <f t="shared" si="19"/>
        <v>0</v>
      </c>
      <c r="G25" s="50">
        <f t="shared" si="19"/>
        <v>0</v>
      </c>
      <c r="H25" s="50">
        <f t="shared" si="19"/>
        <v>89640</v>
      </c>
      <c r="I25" s="50">
        <f t="shared" si="19"/>
        <v>0</v>
      </c>
      <c r="J25" s="50">
        <f t="shared" si="19"/>
        <v>0</v>
      </c>
      <c r="K25" s="50">
        <f t="shared" si="19"/>
        <v>89640</v>
      </c>
      <c r="L25" s="50">
        <f t="shared" si="19"/>
        <v>0</v>
      </c>
      <c r="M25" s="50">
        <f t="shared" si="19"/>
        <v>0</v>
      </c>
      <c r="N25" s="50">
        <f t="shared" si="19"/>
        <v>89640</v>
      </c>
      <c r="O25" s="50">
        <f t="shared" si="19"/>
        <v>0</v>
      </c>
      <c r="P25" s="50">
        <f t="shared" si="19"/>
        <v>89640</v>
      </c>
      <c r="Q25" s="99"/>
      <c r="R25" s="41"/>
      <c r="S25" s="355">
        <f>SUBTOTAL(9,S24:S24)</f>
        <v>358560</v>
      </c>
      <c r="T25" s="41"/>
      <c r="U25" s="363">
        <f t="shared" si="2"/>
        <v>179280</v>
      </c>
      <c r="V25" s="41"/>
      <c r="W25" s="363">
        <v>0</v>
      </c>
      <c r="X25" s="363">
        <f>SUBTOTAL(9,X24)</f>
        <v>358560</v>
      </c>
      <c r="Y25" s="41"/>
      <c r="Z25" s="363">
        <v>0</v>
      </c>
      <c r="AA25" s="363">
        <f>SUBTOTAL(9,AA24)</f>
        <v>358560</v>
      </c>
      <c r="AB25" s="41"/>
      <c r="AC25" s="249">
        <f>SUBTOTAL(9,AC24)</f>
        <v>0</v>
      </c>
      <c r="AD25" s="249">
        <f>SUBTOTAL(9,AD24)</f>
        <v>358560</v>
      </c>
    </row>
    <row r="26" spans="1:30" s="37" customFormat="1" ht="9" customHeight="1" x14ac:dyDescent="0.2">
      <c r="A26" s="45"/>
      <c r="C26" s="38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100"/>
      <c r="R26" s="41"/>
      <c r="S26" s="354"/>
      <c r="T26" s="41"/>
      <c r="U26" s="362">
        <f t="shared" si="2"/>
        <v>0</v>
      </c>
      <c r="V26" s="41"/>
      <c r="W26" s="362"/>
      <c r="X26" s="362"/>
      <c r="Y26" s="41"/>
      <c r="Z26" s="362"/>
      <c r="AA26" s="362"/>
      <c r="AB26" s="41"/>
      <c r="AC26" s="247"/>
      <c r="AD26" s="247"/>
    </row>
    <row r="27" spans="1:30" s="45" customFormat="1" ht="12" x14ac:dyDescent="0.2">
      <c r="A27" s="45" t="s">
        <v>105</v>
      </c>
      <c r="C27" s="46"/>
      <c r="E27" s="43">
        <f t="shared" ref="E27:O27" si="20">SUBTOTAL(9,E8:E26)</f>
        <v>150120</v>
      </c>
      <c r="F27" s="43">
        <f t="shared" si="20"/>
        <v>150120</v>
      </c>
      <c r="G27" s="43">
        <f t="shared" si="20"/>
        <v>150120</v>
      </c>
      <c r="H27" s="43">
        <f t="shared" si="20"/>
        <v>239760</v>
      </c>
      <c r="I27" s="43">
        <f t="shared" si="20"/>
        <v>150120</v>
      </c>
      <c r="J27" s="43">
        <f t="shared" si="20"/>
        <v>157988.87</v>
      </c>
      <c r="K27" s="43">
        <f t="shared" si="20"/>
        <v>247982</v>
      </c>
      <c r="L27" s="43">
        <f t="shared" si="20"/>
        <v>150120</v>
      </c>
      <c r="M27" s="43">
        <f t="shared" si="20"/>
        <v>150120</v>
      </c>
      <c r="N27" s="43">
        <f t="shared" si="20"/>
        <v>239760</v>
      </c>
      <c r="O27" s="43">
        <f t="shared" si="20"/>
        <v>158988.87</v>
      </c>
      <c r="P27" s="43">
        <f>SUBTOTAL(9,P8:P26)</f>
        <v>250031.49519999998</v>
      </c>
      <c r="Q27" s="196"/>
      <c r="R27" s="48"/>
      <c r="S27" s="357">
        <f>SUBTOTAL(9,S8:S26)</f>
        <v>2195231.2352</v>
      </c>
      <c r="T27" s="48"/>
      <c r="U27" s="365">
        <f t="shared" si="2"/>
        <v>1396330.87</v>
      </c>
      <c r="V27" s="48"/>
      <c r="W27" s="365">
        <v>680859.62</v>
      </c>
      <c r="X27" s="365">
        <f>SUBTOTAL(9,X8:X26)</f>
        <v>1514371.6151999997</v>
      </c>
      <c r="Y27" s="48"/>
      <c r="Z27" s="365">
        <v>883716.5</v>
      </c>
      <c r="AA27" s="365">
        <f>SUBTOTAL(9,AA8:AA26)</f>
        <v>1311514.7351999998</v>
      </c>
      <c r="AB27" s="48"/>
      <c r="AC27" s="251">
        <f>SUBTOTAL(9,AC8:AC26)</f>
        <v>0</v>
      </c>
      <c r="AD27" s="251">
        <f>SUBTOTAL(9,AD8:AD26)</f>
        <v>2195231.2352</v>
      </c>
    </row>
    <row r="28" spans="1:30" s="45" customFormat="1" ht="12" x14ac:dyDescent="0.2">
      <c r="C28" s="46"/>
      <c r="E28" s="40"/>
      <c r="F28" s="40"/>
      <c r="G28" s="40"/>
      <c r="H28" s="40"/>
      <c r="I28" s="656"/>
      <c r="J28" s="40"/>
      <c r="K28" s="40"/>
      <c r="L28" s="40"/>
      <c r="M28" s="40"/>
      <c r="N28" s="40"/>
      <c r="O28" s="40"/>
      <c r="P28" s="40"/>
      <c r="Q28" s="100"/>
      <c r="R28" s="48"/>
      <c r="S28" s="354"/>
      <c r="T28" s="48"/>
      <c r="U28" s="277">
        <f t="shared" si="2"/>
        <v>0</v>
      </c>
      <c r="V28" s="48"/>
      <c r="W28" s="277"/>
      <c r="X28" s="277"/>
      <c r="Y28" s="48"/>
      <c r="Z28" s="277"/>
      <c r="AA28" s="277"/>
      <c r="AB28" s="48"/>
      <c r="AC28" s="252"/>
      <c r="AD28" s="252"/>
    </row>
    <row r="29" spans="1:30" s="37" customFormat="1" ht="12" x14ac:dyDescent="0.2">
      <c r="A29" s="45" t="s">
        <v>59</v>
      </c>
      <c r="C29" s="3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44"/>
      <c r="R29" s="41"/>
      <c r="S29" s="354"/>
      <c r="T29" s="41"/>
      <c r="U29" s="362">
        <f t="shared" si="2"/>
        <v>0</v>
      </c>
      <c r="V29" s="41"/>
      <c r="W29" s="362"/>
      <c r="X29" s="362"/>
      <c r="Y29" s="41"/>
      <c r="Z29" s="362"/>
      <c r="AA29" s="362"/>
      <c r="AB29" s="41"/>
      <c r="AC29" s="247"/>
      <c r="AD29" s="247"/>
    </row>
    <row r="30" spans="1:30" s="37" customFormat="1" ht="12" x14ac:dyDescent="0.2">
      <c r="C30" s="49" t="s">
        <v>8</v>
      </c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44"/>
      <c r="R30" s="41"/>
      <c r="S30" s="354"/>
      <c r="T30" s="41"/>
      <c r="U30" s="362">
        <f t="shared" si="2"/>
        <v>0</v>
      </c>
      <c r="V30" s="41"/>
      <c r="W30" s="362"/>
      <c r="X30" s="362"/>
      <c r="Y30" s="41"/>
      <c r="Z30" s="362"/>
      <c r="AA30" s="362"/>
      <c r="AB30" s="41"/>
      <c r="AC30" s="247"/>
      <c r="AD30" s="247"/>
    </row>
    <row r="31" spans="1:30" s="37" customFormat="1" ht="12" x14ac:dyDescent="0.2">
      <c r="C31" s="199">
        <v>6111</v>
      </c>
      <c r="D31" s="37" t="s">
        <v>191</v>
      </c>
      <c r="E31" s="39">
        <f>Payroll!L13</f>
        <v>0</v>
      </c>
      <c r="F31" s="39">
        <f>Payroll!M13</f>
        <v>0</v>
      </c>
      <c r="G31" s="39">
        <f>Payroll!N13</f>
        <v>0</v>
      </c>
      <c r="H31" s="39">
        <f>Payroll!O13</f>
        <v>0</v>
      </c>
      <c r="I31" s="39">
        <f>Payroll!P13</f>
        <v>0</v>
      </c>
      <c r="J31" s="39">
        <f>Payroll!Q13</f>
        <v>0</v>
      </c>
      <c r="K31" s="39">
        <f>Payroll!R13</f>
        <v>0</v>
      </c>
      <c r="L31" s="39">
        <f>Payroll!S13</f>
        <v>0</v>
      </c>
      <c r="M31" s="39">
        <f>Payroll!T13</f>
        <v>0</v>
      </c>
      <c r="N31" s="39">
        <f>Payroll!U13</f>
        <v>0</v>
      </c>
      <c r="O31" s="39">
        <f>Payroll!V13</f>
        <v>0</v>
      </c>
      <c r="P31" s="39">
        <f>Payroll!W13</f>
        <v>0</v>
      </c>
      <c r="Q31" s="36"/>
      <c r="R31" s="41"/>
      <c r="S31" s="354">
        <f t="shared" ref="S31" si="21">SUM(E31:Q31)</f>
        <v>0</v>
      </c>
      <c r="T31" s="41"/>
      <c r="U31" s="362">
        <f t="shared" si="2"/>
        <v>0</v>
      </c>
      <c r="V31" s="41"/>
      <c r="W31" s="362">
        <v>47521.113749999997</v>
      </c>
      <c r="X31" s="362">
        <f t="shared" ref="X31:X40" si="22">S31-W31</f>
        <v>-47521.113749999997</v>
      </c>
      <c r="Y31" s="41"/>
      <c r="Z31" s="362">
        <v>51517.215000000004</v>
      </c>
      <c r="AA31" s="362">
        <f t="shared" ref="AA31:AA40" si="23">Z31-S31</f>
        <v>51517.215000000004</v>
      </c>
      <c r="AB31" s="41"/>
      <c r="AC31" s="247">
        <v>0</v>
      </c>
      <c r="AD31" s="247">
        <f t="shared" ref="AD31:AD40" si="24">AC31-S31</f>
        <v>0</v>
      </c>
    </row>
    <row r="32" spans="1:30" s="37" customFormat="1" ht="12" x14ac:dyDescent="0.2">
      <c r="C32" s="199">
        <v>6114</v>
      </c>
      <c r="D32" s="37" t="s">
        <v>192</v>
      </c>
      <c r="E32" s="39">
        <f>Payroll!L24</f>
        <v>41068.974999999999</v>
      </c>
      <c r="F32" s="39">
        <f>Payroll!M24</f>
        <v>41068.974999999999</v>
      </c>
      <c r="G32" s="39">
        <f>Payroll!N24</f>
        <v>41068.974999999999</v>
      </c>
      <c r="H32" s="39">
        <f>Payroll!O24</f>
        <v>41068.974999999999</v>
      </c>
      <c r="I32" s="39">
        <f>Payroll!P24</f>
        <v>41068.974999999999</v>
      </c>
      <c r="J32" s="39">
        <f>Payroll!Q24</f>
        <v>41068.974999999999</v>
      </c>
      <c r="K32" s="39">
        <f>Payroll!R24</f>
        <v>41068.974999999999</v>
      </c>
      <c r="L32" s="39">
        <f>Payroll!S24</f>
        <v>41068.974999999999</v>
      </c>
      <c r="M32" s="39">
        <f>Payroll!T24</f>
        <v>41068.974999999999</v>
      </c>
      <c r="N32" s="39">
        <f>Payroll!U24</f>
        <v>41068.974999999999</v>
      </c>
      <c r="O32" s="39">
        <f>Payroll!V24</f>
        <v>41068.974999999999</v>
      </c>
      <c r="P32" s="39">
        <f>Payroll!W24</f>
        <v>41068.974999999999</v>
      </c>
      <c r="Q32" s="36"/>
      <c r="R32" s="41"/>
      <c r="S32" s="354">
        <f t="shared" ref="S32:S40" si="25">SUM(E32:Q32)</f>
        <v>492827.6999999999</v>
      </c>
      <c r="T32" s="41"/>
      <c r="U32" s="362">
        <f t="shared" si="2"/>
        <v>328551.8</v>
      </c>
      <c r="V32" s="41"/>
      <c r="W32" s="362">
        <v>80641.89</v>
      </c>
      <c r="X32" s="362">
        <f t="shared" si="22"/>
        <v>412185.80999999988</v>
      </c>
      <c r="Y32" s="41"/>
      <c r="Z32" s="362">
        <v>80137.89</v>
      </c>
      <c r="AA32" s="362">
        <f t="shared" si="23"/>
        <v>-412689.80999999988</v>
      </c>
      <c r="AB32" s="41"/>
      <c r="AC32" s="247">
        <v>0</v>
      </c>
      <c r="AD32" s="247">
        <f t="shared" si="24"/>
        <v>-492827.6999999999</v>
      </c>
    </row>
    <row r="33" spans="3:30" s="37" customFormat="1" ht="12" x14ac:dyDescent="0.2">
      <c r="C33" s="199">
        <v>6117</v>
      </c>
      <c r="D33" s="37" t="s">
        <v>228</v>
      </c>
      <c r="E33" s="39">
        <f>Payroll!L41</f>
        <v>47691.440750000002</v>
      </c>
      <c r="F33" s="39">
        <f>Payroll!M41</f>
        <v>50391.440750000002</v>
      </c>
      <c r="G33" s="39">
        <f>Payroll!N41</f>
        <v>47691.440750000002</v>
      </c>
      <c r="H33" s="39">
        <f>Payroll!O41</f>
        <v>50391.440750000002</v>
      </c>
      <c r="I33" s="39">
        <f>Payroll!P41</f>
        <v>47691.440750000002</v>
      </c>
      <c r="J33" s="39">
        <f>Payroll!Q41</f>
        <v>47691.440750000002</v>
      </c>
      <c r="K33" s="39">
        <f>Payroll!R41</f>
        <v>50391.440750000002</v>
      </c>
      <c r="L33" s="39">
        <f>Payroll!S41</f>
        <v>47691.440750000002</v>
      </c>
      <c r="M33" s="39">
        <f>Payroll!T41</f>
        <v>47691.440750000002</v>
      </c>
      <c r="N33" s="39">
        <f>Payroll!U41</f>
        <v>50391.440750000002</v>
      </c>
      <c r="O33" s="39">
        <f>Payroll!V41</f>
        <v>50391.440750000002</v>
      </c>
      <c r="P33" s="39">
        <f>Payroll!W41</f>
        <v>47691.440750000002</v>
      </c>
      <c r="Q33" s="36"/>
      <c r="R33" s="41"/>
      <c r="S33" s="354">
        <f t="shared" si="25"/>
        <v>585797.28899999999</v>
      </c>
      <c r="T33" s="41"/>
      <c r="U33" s="362">
        <f t="shared" si="2"/>
        <v>389631.52600000001</v>
      </c>
      <c r="V33" s="41"/>
      <c r="W33" s="362">
        <v>4140.0970312499985</v>
      </c>
      <c r="X33" s="362">
        <f t="shared" si="22"/>
        <v>581657.19196874998</v>
      </c>
      <c r="Y33" s="41"/>
      <c r="Z33" s="362">
        <v>39496.531500000005</v>
      </c>
      <c r="AA33" s="362">
        <f t="shared" si="23"/>
        <v>-546300.75749999995</v>
      </c>
      <c r="AB33" s="41"/>
      <c r="AC33" s="247">
        <v>0</v>
      </c>
      <c r="AD33" s="247">
        <f t="shared" si="24"/>
        <v>-585797.28899999999</v>
      </c>
    </row>
    <row r="34" spans="3:30" s="37" customFormat="1" ht="12" x14ac:dyDescent="0.2">
      <c r="C34" s="199">
        <v>6127</v>
      </c>
      <c r="D34" s="37" t="s">
        <v>229</v>
      </c>
      <c r="E34" s="39">
        <f>Payroll!L48</f>
        <v>2946.6666666666665</v>
      </c>
      <c r="F34" s="39">
        <f>Payroll!M48</f>
        <v>2946.6666666666665</v>
      </c>
      <c r="G34" s="39">
        <f>Payroll!N48</f>
        <v>2946.6666666666665</v>
      </c>
      <c r="H34" s="39">
        <f>Payroll!O48</f>
        <v>2946.6666666666665</v>
      </c>
      <c r="I34" s="39">
        <f>Payroll!P48</f>
        <v>2946.6666666666665</v>
      </c>
      <c r="J34" s="39">
        <f>Payroll!Q48</f>
        <v>2946.6666666666665</v>
      </c>
      <c r="K34" s="39">
        <f>Payroll!R48</f>
        <v>2946.6666666666665</v>
      </c>
      <c r="L34" s="39">
        <f>Payroll!S48</f>
        <v>2946.6666666666665</v>
      </c>
      <c r="M34" s="39">
        <f>Payroll!T48</f>
        <v>2946.6666666666665</v>
      </c>
      <c r="N34" s="39">
        <f>Payroll!U48</f>
        <v>2946.6666666666665</v>
      </c>
      <c r="O34" s="39">
        <f>Payroll!V48</f>
        <v>2946.6666666666665</v>
      </c>
      <c r="P34" s="39">
        <f>Payroll!W48</f>
        <v>2946.6666666666665</v>
      </c>
      <c r="Q34" s="36"/>
      <c r="R34" s="41"/>
      <c r="S34" s="354">
        <f t="shared" si="25"/>
        <v>35360.000000000007</v>
      </c>
      <c r="T34" s="41"/>
      <c r="U34" s="362">
        <f t="shared" si="2"/>
        <v>23573.333333333336</v>
      </c>
      <c r="V34" s="41"/>
      <c r="W34" s="362">
        <v>0</v>
      </c>
      <c r="X34" s="362">
        <f t="shared" si="22"/>
        <v>35360.000000000007</v>
      </c>
      <c r="Y34" s="41"/>
      <c r="Z34" s="362">
        <v>8840.0000000000018</v>
      </c>
      <c r="AA34" s="362">
        <f t="shared" si="23"/>
        <v>-26520.000000000007</v>
      </c>
      <c r="AB34" s="41"/>
      <c r="AC34" s="247">
        <v>0</v>
      </c>
      <c r="AD34" s="247">
        <f t="shared" si="24"/>
        <v>-35360.000000000007</v>
      </c>
    </row>
    <row r="35" spans="3:30" s="37" customFormat="1" ht="12" x14ac:dyDescent="0.2">
      <c r="C35" s="199">
        <v>6151</v>
      </c>
      <c r="D35" s="37" t="s">
        <v>189</v>
      </c>
      <c r="E35" s="39">
        <f>Payroll!L54</f>
        <v>0</v>
      </c>
      <c r="F35" s="39">
        <f>Payroll!M54</f>
        <v>0</v>
      </c>
      <c r="G35" s="39">
        <f>Payroll!N54</f>
        <v>0</v>
      </c>
      <c r="H35" s="39">
        <f>Payroll!O54</f>
        <v>0</v>
      </c>
      <c r="I35" s="39">
        <f>Payroll!P54</f>
        <v>0</v>
      </c>
      <c r="J35" s="39">
        <f>Payroll!Q54</f>
        <v>0</v>
      </c>
      <c r="K35" s="39">
        <f>Payroll!R54</f>
        <v>0</v>
      </c>
      <c r="L35" s="39">
        <f>Payroll!S54</f>
        <v>0</v>
      </c>
      <c r="M35" s="39">
        <f>Payroll!T54</f>
        <v>0</v>
      </c>
      <c r="N35" s="39">
        <f>Payroll!U54</f>
        <v>0</v>
      </c>
      <c r="O35" s="39">
        <f>Payroll!V54</f>
        <v>0</v>
      </c>
      <c r="P35" s="39">
        <f>Payroll!W54</f>
        <v>0</v>
      </c>
      <c r="Q35" s="36"/>
      <c r="R35" s="41"/>
      <c r="S35" s="354">
        <f t="shared" si="25"/>
        <v>0</v>
      </c>
      <c r="T35" s="41"/>
      <c r="U35" s="362">
        <f t="shared" si="2"/>
        <v>0</v>
      </c>
      <c r="V35" s="41"/>
      <c r="W35" s="362">
        <v>3000</v>
      </c>
      <c r="X35" s="362">
        <f t="shared" si="22"/>
        <v>-3000</v>
      </c>
      <c r="Y35" s="41"/>
      <c r="Z35" s="362">
        <v>3000</v>
      </c>
      <c r="AA35" s="362">
        <f t="shared" si="23"/>
        <v>3000</v>
      </c>
      <c r="AB35" s="41"/>
      <c r="AC35" s="247">
        <v>0</v>
      </c>
      <c r="AD35" s="247">
        <f t="shared" si="24"/>
        <v>0</v>
      </c>
    </row>
    <row r="36" spans="3:30" s="37" customFormat="1" ht="12" x14ac:dyDescent="0.2">
      <c r="C36" s="199">
        <v>6154</v>
      </c>
      <c r="D36" s="37" t="s">
        <v>190</v>
      </c>
      <c r="E36" s="39">
        <f>Payroll!L67</f>
        <v>0</v>
      </c>
      <c r="F36" s="39">
        <f>Payroll!M67</f>
        <v>0</v>
      </c>
      <c r="G36" s="39">
        <f>Payroll!N67</f>
        <v>0</v>
      </c>
      <c r="H36" s="39">
        <f>Payroll!O67</f>
        <v>0</v>
      </c>
      <c r="I36" s="39">
        <f>Payroll!P67</f>
        <v>750</v>
      </c>
      <c r="J36" s="39">
        <f>Payroll!Q67</f>
        <v>750</v>
      </c>
      <c r="K36" s="39">
        <f>Payroll!R67</f>
        <v>750</v>
      </c>
      <c r="L36" s="39">
        <f>Payroll!S67</f>
        <v>750</v>
      </c>
      <c r="M36" s="39">
        <f>Payroll!T67</f>
        <v>0</v>
      </c>
      <c r="N36" s="39">
        <f>Payroll!U67</f>
        <v>0</v>
      </c>
      <c r="O36" s="39">
        <f>Payroll!V67</f>
        <v>750</v>
      </c>
      <c r="P36" s="39">
        <f>Payroll!W67</f>
        <v>24500</v>
      </c>
      <c r="Q36" s="36"/>
      <c r="R36" s="41"/>
      <c r="S36" s="354">
        <f t="shared" si="25"/>
        <v>28250</v>
      </c>
      <c r="T36" s="41"/>
      <c r="U36" s="362">
        <f t="shared" si="2"/>
        <v>3000</v>
      </c>
      <c r="V36" s="41"/>
      <c r="W36" s="362">
        <v>6750</v>
      </c>
      <c r="X36" s="362">
        <f t="shared" si="22"/>
        <v>21500</v>
      </c>
      <c r="Y36" s="41"/>
      <c r="Z36" s="362">
        <v>3000</v>
      </c>
      <c r="AA36" s="362">
        <f t="shared" si="23"/>
        <v>-25250</v>
      </c>
      <c r="AB36" s="41"/>
      <c r="AC36" s="247">
        <v>0</v>
      </c>
      <c r="AD36" s="247">
        <f t="shared" si="24"/>
        <v>-28250</v>
      </c>
    </row>
    <row r="37" spans="3:30" s="37" customFormat="1" ht="12" x14ac:dyDescent="0.2">
      <c r="C37" s="199">
        <v>6157</v>
      </c>
      <c r="D37" s="37" t="s">
        <v>230</v>
      </c>
      <c r="E37" s="39">
        <f>Payroll!L83</f>
        <v>0</v>
      </c>
      <c r="F37" s="39">
        <f>Payroll!M83</f>
        <v>1680</v>
      </c>
      <c r="G37" s="39">
        <f>Payroll!N83</f>
        <v>4356</v>
      </c>
      <c r="H37" s="39">
        <f>Payroll!O83</f>
        <v>4446</v>
      </c>
      <c r="I37" s="39">
        <f>Payroll!P83</f>
        <v>5196</v>
      </c>
      <c r="J37" s="39">
        <f>Payroll!Q83</f>
        <v>2766</v>
      </c>
      <c r="K37" s="39">
        <f>Payroll!R83</f>
        <v>2766</v>
      </c>
      <c r="L37" s="39">
        <f>Payroll!S83</f>
        <v>1926</v>
      </c>
      <c r="M37" s="39">
        <f>Payroll!T83</f>
        <v>4356</v>
      </c>
      <c r="N37" s="39">
        <f>Payroll!U83</f>
        <v>3606</v>
      </c>
      <c r="O37" s="39">
        <f>Payroll!V83</f>
        <v>4110</v>
      </c>
      <c r="P37" s="39">
        <f>Payroll!W83</f>
        <v>0</v>
      </c>
      <c r="Q37" s="36"/>
      <c r="R37" s="41"/>
      <c r="S37" s="354">
        <f t="shared" si="25"/>
        <v>35208</v>
      </c>
      <c r="T37" s="41"/>
      <c r="U37" s="362">
        <f t="shared" si="2"/>
        <v>23136</v>
      </c>
      <c r="V37" s="41"/>
      <c r="W37" s="362">
        <v>0</v>
      </c>
      <c r="X37" s="362">
        <f t="shared" si="22"/>
        <v>35208</v>
      </c>
      <c r="Y37" s="41"/>
      <c r="Z37" s="362">
        <v>3000</v>
      </c>
      <c r="AA37" s="362">
        <f t="shared" si="23"/>
        <v>-32208</v>
      </c>
      <c r="AB37" s="41"/>
      <c r="AC37" s="247">
        <v>0</v>
      </c>
      <c r="AD37" s="247">
        <f t="shared" si="24"/>
        <v>-35208</v>
      </c>
    </row>
    <row r="38" spans="3:30" s="37" customFormat="1" ht="12" x14ac:dyDescent="0.2">
      <c r="C38" s="199">
        <v>6161</v>
      </c>
      <c r="D38" s="37" t="s">
        <v>97</v>
      </c>
      <c r="E38" s="39">
        <f>Payroll!L89</f>
        <v>0</v>
      </c>
      <c r="F38" s="39">
        <f>Payroll!M89</f>
        <v>0</v>
      </c>
      <c r="G38" s="39">
        <f>Payroll!N89</f>
        <v>0</v>
      </c>
      <c r="H38" s="39">
        <f>Payroll!O89</f>
        <v>0</v>
      </c>
      <c r="I38" s="39">
        <f>Payroll!P89</f>
        <v>0</v>
      </c>
      <c r="J38" s="39">
        <f>Payroll!Q89</f>
        <v>0</v>
      </c>
      <c r="K38" s="39">
        <f>Payroll!R89</f>
        <v>0</v>
      </c>
      <c r="L38" s="39">
        <f>Payroll!S89</f>
        <v>0</v>
      </c>
      <c r="M38" s="39">
        <f>Payroll!T89</f>
        <v>0</v>
      </c>
      <c r="N38" s="39">
        <f>Payroll!U89</f>
        <v>0</v>
      </c>
      <c r="O38" s="39">
        <f>Payroll!V89</f>
        <v>0</v>
      </c>
      <c r="P38" s="39">
        <f>Payroll!W89</f>
        <v>0</v>
      </c>
      <c r="Q38" s="36"/>
      <c r="R38" s="41"/>
      <c r="S38" s="354">
        <f t="shared" si="25"/>
        <v>0</v>
      </c>
      <c r="T38" s="41"/>
      <c r="U38" s="362">
        <f t="shared" si="2"/>
        <v>0</v>
      </c>
      <c r="V38" s="41"/>
      <c r="W38" s="362">
        <v>0</v>
      </c>
      <c r="X38" s="362">
        <f t="shared" si="22"/>
        <v>0</v>
      </c>
      <c r="Y38" s="41"/>
      <c r="Z38" s="362">
        <v>0</v>
      </c>
      <c r="AA38" s="362">
        <f t="shared" si="23"/>
        <v>0</v>
      </c>
      <c r="AB38" s="41"/>
      <c r="AC38" s="247">
        <v>0</v>
      </c>
      <c r="AD38" s="247">
        <f t="shared" si="24"/>
        <v>0</v>
      </c>
    </row>
    <row r="39" spans="3:30" s="37" customFormat="1" ht="12" x14ac:dyDescent="0.2">
      <c r="C39" s="199">
        <v>6164</v>
      </c>
      <c r="D39" s="37" t="s">
        <v>98</v>
      </c>
      <c r="E39" s="39">
        <f>Payroll!L101</f>
        <v>0</v>
      </c>
      <c r="F39" s="39">
        <f>Payroll!M101</f>
        <v>0</v>
      </c>
      <c r="G39" s="39">
        <f>Payroll!N101</f>
        <v>750</v>
      </c>
      <c r="H39" s="39">
        <f>Payroll!O101</f>
        <v>1000</v>
      </c>
      <c r="I39" s="39">
        <f>Payroll!P101</f>
        <v>750</v>
      </c>
      <c r="J39" s="39">
        <f>Payroll!Q101</f>
        <v>1250</v>
      </c>
      <c r="K39" s="39">
        <f>Payroll!R101</f>
        <v>1250</v>
      </c>
      <c r="L39" s="39">
        <f>Payroll!S101</f>
        <v>2000</v>
      </c>
      <c r="M39" s="39">
        <f>Payroll!T101</f>
        <v>2250</v>
      </c>
      <c r="N39" s="39">
        <f>Payroll!U101</f>
        <v>2000</v>
      </c>
      <c r="O39" s="39">
        <f>Payroll!V101</f>
        <v>1250</v>
      </c>
      <c r="P39" s="39">
        <f>Payroll!W101</f>
        <v>0</v>
      </c>
      <c r="Q39" s="36"/>
      <c r="R39" s="41"/>
      <c r="S39" s="354">
        <f t="shared" si="25"/>
        <v>12500</v>
      </c>
      <c r="T39" s="41"/>
      <c r="U39" s="362">
        <f t="shared" si="2"/>
        <v>7000</v>
      </c>
      <c r="V39" s="41"/>
      <c r="W39" s="362">
        <v>0</v>
      </c>
      <c r="X39" s="362">
        <f t="shared" si="22"/>
        <v>12500</v>
      </c>
      <c r="Y39" s="41"/>
      <c r="Z39" s="362">
        <v>0</v>
      </c>
      <c r="AA39" s="362">
        <f t="shared" si="23"/>
        <v>-12500</v>
      </c>
      <c r="AB39" s="41"/>
      <c r="AC39" s="247">
        <v>0</v>
      </c>
      <c r="AD39" s="247">
        <f t="shared" si="24"/>
        <v>-12500</v>
      </c>
    </row>
    <row r="40" spans="3:30" s="37" customFormat="1" ht="12" x14ac:dyDescent="0.2">
      <c r="C40" s="199">
        <v>6167</v>
      </c>
      <c r="D40" s="37" t="s">
        <v>231</v>
      </c>
      <c r="E40" s="39">
        <f>Payroll!L115</f>
        <v>0</v>
      </c>
      <c r="F40" s="39">
        <f>Payroll!M115</f>
        <v>0</v>
      </c>
      <c r="G40" s="39">
        <f>Payroll!N115</f>
        <v>0</v>
      </c>
      <c r="H40" s="39">
        <f>Payroll!O115</f>
        <v>0</v>
      </c>
      <c r="I40" s="39">
        <f>Payroll!P115</f>
        <v>0</v>
      </c>
      <c r="J40" s="39">
        <f>Payroll!Q115</f>
        <v>500</v>
      </c>
      <c r="K40" s="39">
        <f>Payroll!R115</f>
        <v>500</v>
      </c>
      <c r="L40" s="39">
        <f>Payroll!S115</f>
        <v>500</v>
      </c>
      <c r="M40" s="39">
        <f>Payroll!T115</f>
        <v>500</v>
      </c>
      <c r="N40" s="39">
        <f>Payroll!U115</f>
        <v>500</v>
      </c>
      <c r="O40" s="39">
        <f>Payroll!V115</f>
        <v>0</v>
      </c>
      <c r="P40" s="39">
        <f>Payroll!W115</f>
        <v>0</v>
      </c>
      <c r="Q40" s="36"/>
      <c r="R40" s="41"/>
      <c r="S40" s="354">
        <f t="shared" si="25"/>
        <v>2500</v>
      </c>
      <c r="T40" s="41"/>
      <c r="U40" s="362">
        <f t="shared" si="2"/>
        <v>1500</v>
      </c>
      <c r="V40" s="41"/>
      <c r="W40" s="362">
        <v>0</v>
      </c>
      <c r="X40" s="362">
        <f t="shared" si="22"/>
        <v>2500</v>
      </c>
      <c r="Y40" s="41"/>
      <c r="Z40" s="362">
        <v>0</v>
      </c>
      <c r="AA40" s="362">
        <f t="shared" si="23"/>
        <v>-2500</v>
      </c>
      <c r="AB40" s="41"/>
      <c r="AC40" s="247">
        <v>0</v>
      </c>
      <c r="AD40" s="247">
        <f t="shared" si="24"/>
        <v>-2500</v>
      </c>
    </row>
    <row r="41" spans="3:30" s="37" customFormat="1" ht="12" x14ac:dyDescent="0.2">
      <c r="C41" s="38"/>
      <c r="E41" s="50">
        <f t="shared" ref="E41:O41" si="26">SUBTOTAL(9,E31:E40)</f>
        <v>91707.082416666672</v>
      </c>
      <c r="F41" s="50">
        <f t="shared" si="26"/>
        <v>96087.082416666672</v>
      </c>
      <c r="G41" s="50">
        <f t="shared" si="26"/>
        <v>96813.082416666672</v>
      </c>
      <c r="H41" s="50">
        <f t="shared" si="26"/>
        <v>99853.082416666672</v>
      </c>
      <c r="I41" s="50">
        <f t="shared" si="26"/>
        <v>98403.082416666672</v>
      </c>
      <c r="J41" s="50">
        <f t="shared" si="26"/>
        <v>96973.082416666672</v>
      </c>
      <c r="K41" s="50">
        <f t="shared" si="26"/>
        <v>99673.082416666672</v>
      </c>
      <c r="L41" s="50">
        <f t="shared" si="26"/>
        <v>96883.082416666672</v>
      </c>
      <c r="M41" s="50">
        <f t="shared" si="26"/>
        <v>98813.082416666672</v>
      </c>
      <c r="N41" s="50">
        <f t="shared" si="26"/>
        <v>100513.08241666667</v>
      </c>
      <c r="O41" s="50">
        <f t="shared" si="26"/>
        <v>100517.08241666667</v>
      </c>
      <c r="P41" s="50">
        <f t="shared" ref="P41" si="27">SUBTOTAL(9,P31:P40)</f>
        <v>116207.08241666667</v>
      </c>
      <c r="Q41" s="51"/>
      <c r="R41" s="41"/>
      <c r="S41" s="355">
        <f>SUBTOTAL(9,S31:S40)</f>
        <v>1192442.9889999998</v>
      </c>
      <c r="T41" s="41"/>
      <c r="U41" s="363">
        <f t="shared" si="2"/>
        <v>776392.65933333337</v>
      </c>
      <c r="V41" s="41"/>
      <c r="W41" s="363">
        <v>142053.10078124999</v>
      </c>
      <c r="X41" s="363">
        <f>SUBTOTAL(9,X31:X40)</f>
        <v>1050389.8882187498</v>
      </c>
      <c r="Y41" s="41"/>
      <c r="Z41" s="363">
        <v>188991.63650000002</v>
      </c>
      <c r="AA41" s="363">
        <f>SUBTOTAL(9,AA31:AA40)</f>
        <v>-1003451.3524999998</v>
      </c>
      <c r="AB41" s="41"/>
      <c r="AC41" s="249">
        <f>SUBTOTAL(9,AC31:AC40)</f>
        <v>0</v>
      </c>
      <c r="AD41" s="249">
        <f>SUBTOTAL(9,AD31:AD40)</f>
        <v>-1192442.9889999998</v>
      </c>
    </row>
    <row r="42" spans="3:30" s="37" customFormat="1" ht="12" x14ac:dyDescent="0.2">
      <c r="C42" s="49" t="s">
        <v>99</v>
      </c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44"/>
      <c r="R42" s="41"/>
      <c r="S42" s="354"/>
      <c r="T42" s="41"/>
      <c r="U42" s="362">
        <f t="shared" si="2"/>
        <v>0</v>
      </c>
      <c r="V42" s="41"/>
      <c r="W42" s="362"/>
      <c r="X42" s="362"/>
      <c r="Y42" s="41"/>
      <c r="Z42" s="362"/>
      <c r="AA42" s="362"/>
      <c r="AB42" s="41"/>
      <c r="AC42" s="247"/>
      <c r="AD42" s="247"/>
    </row>
    <row r="43" spans="3:30" s="37" customFormat="1" ht="12" x14ac:dyDescent="0.2">
      <c r="C43" s="199">
        <v>6211</v>
      </c>
      <c r="D43" s="37" t="s">
        <v>198</v>
      </c>
      <c r="E43" s="39">
        <f>Payroll!L138</f>
        <v>0</v>
      </c>
      <c r="F43" s="39">
        <f>Payroll!M138</f>
        <v>0</v>
      </c>
      <c r="G43" s="39">
        <f>Payroll!N138</f>
        <v>0</v>
      </c>
      <c r="H43" s="39">
        <f>Payroll!O138</f>
        <v>0</v>
      </c>
      <c r="I43" s="39">
        <f>Payroll!P138</f>
        <v>0</v>
      </c>
      <c r="J43" s="39">
        <f>Payroll!Q138</f>
        <v>0</v>
      </c>
      <c r="K43" s="39">
        <f>Payroll!R138</f>
        <v>0</v>
      </c>
      <c r="L43" s="39">
        <f>Payroll!S138</f>
        <v>0</v>
      </c>
      <c r="M43" s="39">
        <f>Payroll!T138</f>
        <v>0</v>
      </c>
      <c r="N43" s="39">
        <f>Payroll!U138</f>
        <v>0</v>
      </c>
      <c r="O43" s="39">
        <f>Payroll!V138</f>
        <v>0</v>
      </c>
      <c r="P43" s="39">
        <f>Payroll!W138</f>
        <v>0</v>
      </c>
      <c r="Q43" s="36"/>
      <c r="R43" s="41"/>
      <c r="S43" s="354">
        <f t="shared" ref="S43:S61" si="28">SUM(E43:Q43)</f>
        <v>0</v>
      </c>
      <c r="T43" s="41"/>
      <c r="U43" s="362">
        <f t="shared" si="2"/>
        <v>0</v>
      </c>
      <c r="V43" s="41"/>
      <c r="W43" s="362">
        <v>444</v>
      </c>
      <c r="X43" s="362">
        <f t="shared" ref="X43:X61" si="29">S43-W43</f>
        <v>-444</v>
      </c>
      <c r="Y43" s="41"/>
      <c r="Z43" s="362">
        <v>444</v>
      </c>
      <c r="AA43" s="362">
        <f t="shared" ref="AA43:AA61" si="30">Z43-S43</f>
        <v>444</v>
      </c>
      <c r="AB43" s="41"/>
      <c r="AC43" s="247">
        <v>0</v>
      </c>
      <c r="AD43" s="247">
        <f t="shared" ref="AD43:AD61" si="31">AC43-S43</f>
        <v>0</v>
      </c>
    </row>
    <row r="44" spans="3:30" s="37" customFormat="1" ht="12" x14ac:dyDescent="0.2">
      <c r="C44" s="199">
        <v>6214</v>
      </c>
      <c r="D44" s="37" t="s">
        <v>199</v>
      </c>
      <c r="E44" s="39">
        <f>Payroll!L139</f>
        <v>148</v>
      </c>
      <c r="F44" s="39">
        <f>Payroll!M139</f>
        <v>148</v>
      </c>
      <c r="G44" s="39">
        <f>Payroll!N139</f>
        <v>148</v>
      </c>
      <c r="H44" s="39">
        <f>Payroll!O139</f>
        <v>148</v>
      </c>
      <c r="I44" s="39">
        <f>Payroll!P139</f>
        <v>148</v>
      </c>
      <c r="J44" s="39">
        <f>Payroll!Q139</f>
        <v>148</v>
      </c>
      <c r="K44" s="39">
        <f>Payroll!R139</f>
        <v>148</v>
      </c>
      <c r="L44" s="39">
        <f>Payroll!S139</f>
        <v>148</v>
      </c>
      <c r="M44" s="39">
        <f>Payroll!T139</f>
        <v>148</v>
      </c>
      <c r="N44" s="39">
        <f>Payroll!U139</f>
        <v>148</v>
      </c>
      <c r="O44" s="39">
        <f>Payroll!V139</f>
        <v>148</v>
      </c>
      <c r="P44" s="39">
        <f>Payroll!W139</f>
        <v>148</v>
      </c>
      <c r="Q44" s="36"/>
      <c r="R44" s="41"/>
      <c r="S44" s="354">
        <f t="shared" si="28"/>
        <v>1776</v>
      </c>
      <c r="T44" s="41"/>
      <c r="U44" s="362">
        <f t="shared" si="2"/>
        <v>1184</v>
      </c>
      <c r="V44" s="41"/>
      <c r="W44" s="362">
        <v>444</v>
      </c>
      <c r="X44" s="362">
        <f t="shared" si="29"/>
        <v>1332</v>
      </c>
      <c r="Y44" s="41"/>
      <c r="Z44" s="362">
        <v>444</v>
      </c>
      <c r="AA44" s="362">
        <f t="shared" si="30"/>
        <v>-1332</v>
      </c>
      <c r="AB44" s="41"/>
      <c r="AC44" s="247">
        <v>0</v>
      </c>
      <c r="AD44" s="247">
        <f t="shared" si="31"/>
        <v>-1776</v>
      </c>
    </row>
    <row r="45" spans="3:30" s="37" customFormat="1" ht="12" x14ac:dyDescent="0.2">
      <c r="C45" s="199">
        <v>6217</v>
      </c>
      <c r="D45" s="37" t="s">
        <v>222</v>
      </c>
      <c r="E45" s="39">
        <f>Payroll!L140</f>
        <v>296</v>
      </c>
      <c r="F45" s="39">
        <f>Payroll!M140</f>
        <v>296</v>
      </c>
      <c r="G45" s="39">
        <f>Payroll!N140</f>
        <v>296</v>
      </c>
      <c r="H45" s="39">
        <f>Payroll!O140</f>
        <v>296</v>
      </c>
      <c r="I45" s="39">
        <f>Payroll!P140</f>
        <v>296</v>
      </c>
      <c r="J45" s="39">
        <f>Payroll!Q140</f>
        <v>296</v>
      </c>
      <c r="K45" s="39">
        <f>Payroll!R140</f>
        <v>296</v>
      </c>
      <c r="L45" s="39">
        <f>Payroll!S140</f>
        <v>296</v>
      </c>
      <c r="M45" s="39">
        <f>Payroll!T140</f>
        <v>296</v>
      </c>
      <c r="N45" s="39">
        <f>Payroll!U140</f>
        <v>296</v>
      </c>
      <c r="O45" s="39">
        <f>Payroll!V140</f>
        <v>296</v>
      </c>
      <c r="P45" s="39">
        <f>Payroll!W140</f>
        <v>296</v>
      </c>
      <c r="Q45" s="36"/>
      <c r="R45" s="41"/>
      <c r="S45" s="354">
        <f t="shared" si="28"/>
        <v>3552</v>
      </c>
      <c r="T45" s="41"/>
      <c r="U45" s="362">
        <f t="shared" si="2"/>
        <v>2368</v>
      </c>
      <c r="V45" s="41"/>
      <c r="W45" s="362">
        <v>0</v>
      </c>
      <c r="X45" s="362">
        <f t="shared" si="29"/>
        <v>3552</v>
      </c>
      <c r="Y45" s="41"/>
      <c r="Z45" s="362">
        <v>444</v>
      </c>
      <c r="AA45" s="362">
        <f t="shared" si="30"/>
        <v>-3108</v>
      </c>
      <c r="AB45" s="41"/>
      <c r="AC45" s="247">
        <v>0</v>
      </c>
      <c r="AD45" s="247">
        <f t="shared" si="31"/>
        <v>-3552</v>
      </c>
    </row>
    <row r="46" spans="3:30" s="37" customFormat="1" ht="12" x14ac:dyDescent="0.2">
      <c r="C46" s="199">
        <v>6227</v>
      </c>
      <c r="D46" s="37" t="s">
        <v>221</v>
      </c>
      <c r="E46" s="39">
        <f>Payroll!L142</f>
        <v>182.69333333333333</v>
      </c>
      <c r="F46" s="39">
        <f>Payroll!M142</f>
        <v>182.69333333333333</v>
      </c>
      <c r="G46" s="39">
        <f>Payroll!N142</f>
        <v>182.69333333333333</v>
      </c>
      <c r="H46" s="39">
        <f>Payroll!O142</f>
        <v>182.69333333333333</v>
      </c>
      <c r="I46" s="39">
        <f>Payroll!P142</f>
        <v>182.69333333333333</v>
      </c>
      <c r="J46" s="39">
        <f>Payroll!Q142</f>
        <v>182.69333333333333</v>
      </c>
      <c r="K46" s="39">
        <f>Payroll!R142</f>
        <v>182.69333333333333</v>
      </c>
      <c r="L46" s="39">
        <f>Payroll!S142</f>
        <v>182.69333333333333</v>
      </c>
      <c r="M46" s="39">
        <f>Payroll!T142</f>
        <v>182.69333333333333</v>
      </c>
      <c r="N46" s="39">
        <f>Payroll!U142</f>
        <v>182.69333333333333</v>
      </c>
      <c r="O46" s="39">
        <f>Payroll!V142</f>
        <v>182.69333333333333</v>
      </c>
      <c r="P46" s="39">
        <f>Payroll!W142</f>
        <v>182.69333333333333</v>
      </c>
      <c r="Q46" s="36"/>
      <c r="R46" s="41"/>
      <c r="S46" s="354">
        <f t="shared" si="28"/>
        <v>2192.3200000000002</v>
      </c>
      <c r="T46" s="41"/>
      <c r="U46" s="362">
        <f t="shared" si="2"/>
        <v>1461.5466666666669</v>
      </c>
      <c r="V46" s="41"/>
      <c r="W46" s="362">
        <v>0</v>
      </c>
      <c r="X46" s="362">
        <f t="shared" si="29"/>
        <v>2192.3200000000002</v>
      </c>
      <c r="Y46" s="41"/>
      <c r="Z46" s="362">
        <v>548.08000000000004</v>
      </c>
      <c r="AA46" s="362">
        <f t="shared" si="30"/>
        <v>-1644.2400000000002</v>
      </c>
      <c r="AB46" s="41"/>
      <c r="AC46" s="247">
        <v>0</v>
      </c>
      <c r="AD46" s="247">
        <f t="shared" si="31"/>
        <v>-2192.3200000000002</v>
      </c>
    </row>
    <row r="47" spans="3:30" s="37" customFormat="1" ht="12" x14ac:dyDescent="0.2">
      <c r="C47" s="199">
        <v>6231</v>
      </c>
      <c r="D47" s="37" t="s">
        <v>205</v>
      </c>
      <c r="E47" s="39">
        <f>Payroll!L144</f>
        <v>0</v>
      </c>
      <c r="F47" s="39">
        <f>Payroll!M144</f>
        <v>0</v>
      </c>
      <c r="G47" s="39">
        <f>Payroll!N144</f>
        <v>0</v>
      </c>
      <c r="H47" s="39">
        <f>Payroll!O144</f>
        <v>0</v>
      </c>
      <c r="I47" s="39">
        <f>Payroll!P144</f>
        <v>0</v>
      </c>
      <c r="J47" s="39">
        <f>Payroll!Q144</f>
        <v>0</v>
      </c>
      <c r="K47" s="39">
        <f>Payroll!R144</f>
        <v>0</v>
      </c>
      <c r="L47" s="39">
        <f>Payroll!S144</f>
        <v>0</v>
      </c>
      <c r="M47" s="39">
        <f>Payroll!T144</f>
        <v>0</v>
      </c>
      <c r="N47" s="39">
        <f>Payroll!U144</f>
        <v>0</v>
      </c>
      <c r="O47" s="39">
        <f>Payroll!V144</f>
        <v>0</v>
      </c>
      <c r="P47" s="39">
        <f>Payroll!W144</f>
        <v>0</v>
      </c>
      <c r="Q47" s="36"/>
      <c r="R47" s="41"/>
      <c r="S47" s="354">
        <f>SUM(E47:Q47)</f>
        <v>0</v>
      </c>
      <c r="T47" s="41"/>
      <c r="U47" s="362">
        <f t="shared" si="2"/>
        <v>0</v>
      </c>
      <c r="V47" s="41"/>
      <c r="W47" s="362">
        <v>7246.9698468750003</v>
      </c>
      <c r="X47" s="362">
        <f t="shared" si="29"/>
        <v>-7246.9698468750003</v>
      </c>
      <c r="Y47" s="41"/>
      <c r="Z47" s="362">
        <v>7856.3752875000018</v>
      </c>
      <c r="AA47" s="362">
        <f t="shared" si="30"/>
        <v>7856.3752875000018</v>
      </c>
      <c r="AB47" s="41"/>
      <c r="AC47" s="247">
        <v>0</v>
      </c>
      <c r="AD47" s="247">
        <f t="shared" si="31"/>
        <v>0</v>
      </c>
    </row>
    <row r="48" spans="3:30" s="37" customFormat="1" ht="12" x14ac:dyDescent="0.2">
      <c r="C48" s="199">
        <v>6234</v>
      </c>
      <c r="D48" s="37" t="s">
        <v>206</v>
      </c>
      <c r="E48" s="39">
        <f>Payroll!L145</f>
        <v>10668.6436875</v>
      </c>
      <c r="F48" s="39">
        <f>Payroll!M145</f>
        <v>10668.6436875</v>
      </c>
      <c r="G48" s="39">
        <f>Payroll!N145</f>
        <v>10668.6436875</v>
      </c>
      <c r="H48" s="39">
        <f>Payroll!O145</f>
        <v>10668.6436875</v>
      </c>
      <c r="I48" s="39">
        <f>Payroll!P145</f>
        <v>10668.6436875</v>
      </c>
      <c r="J48" s="39">
        <f>Payroll!Q145</f>
        <v>10668.6436875</v>
      </c>
      <c r="K48" s="39">
        <f>Payroll!R145</f>
        <v>10668.6436875</v>
      </c>
      <c r="L48" s="39">
        <f>Payroll!S145</f>
        <v>10668.6436875</v>
      </c>
      <c r="M48" s="39">
        <f>Payroll!T145</f>
        <v>10668.6436875</v>
      </c>
      <c r="N48" s="39">
        <f>Payroll!U145</f>
        <v>10668.6436875</v>
      </c>
      <c r="O48" s="39">
        <f>Payroll!V145</f>
        <v>10668.6436875</v>
      </c>
      <c r="P48" s="39">
        <f>Payroll!W145</f>
        <v>10668.6436875</v>
      </c>
      <c r="Q48" s="36"/>
      <c r="R48" s="41"/>
      <c r="S48" s="354">
        <f t="shared" si="28"/>
        <v>128023.72425000003</v>
      </c>
      <c r="T48" s="41"/>
      <c r="U48" s="362">
        <f t="shared" si="2"/>
        <v>85349.1495</v>
      </c>
      <c r="V48" s="41"/>
      <c r="W48" s="362">
        <v>12297.888224999997</v>
      </c>
      <c r="X48" s="362">
        <f t="shared" si="29"/>
        <v>115725.83602500003</v>
      </c>
      <c r="Y48" s="41"/>
      <c r="Z48" s="362">
        <v>12221.028225000002</v>
      </c>
      <c r="AA48" s="362">
        <f t="shared" si="30"/>
        <v>-115802.69602500003</v>
      </c>
      <c r="AB48" s="41"/>
      <c r="AC48" s="247">
        <v>0</v>
      </c>
      <c r="AD48" s="247">
        <f t="shared" si="31"/>
        <v>-128023.72425000003</v>
      </c>
    </row>
    <row r="49" spans="1:30" s="37" customFormat="1" ht="12" x14ac:dyDescent="0.2">
      <c r="C49" s="199">
        <v>6237</v>
      </c>
      <c r="D49" s="37" t="s">
        <v>223</v>
      </c>
      <c r="E49" s="39">
        <f>Payroll!L146</f>
        <v>9823.5697143750003</v>
      </c>
      <c r="F49" s="39">
        <f>Payroll!M146</f>
        <v>9823.5697143750003</v>
      </c>
      <c r="G49" s="39">
        <f>Payroll!N146</f>
        <v>9823.5697143750003</v>
      </c>
      <c r="H49" s="39">
        <f>Payroll!O146</f>
        <v>9823.5697143750003</v>
      </c>
      <c r="I49" s="39">
        <f>Payroll!P146</f>
        <v>9823.5697143750003</v>
      </c>
      <c r="J49" s="39">
        <f>Payroll!Q146</f>
        <v>9823.5697143750003</v>
      </c>
      <c r="K49" s="39">
        <f>Payroll!R146</f>
        <v>9823.5697143750003</v>
      </c>
      <c r="L49" s="39">
        <f>Payroll!S146</f>
        <v>9823.5697143750003</v>
      </c>
      <c r="M49" s="39">
        <f>Payroll!T146</f>
        <v>9823.5697143750003</v>
      </c>
      <c r="N49" s="39">
        <f>Payroll!U146</f>
        <v>9823.5697143750003</v>
      </c>
      <c r="O49" s="39">
        <f>Payroll!V146</f>
        <v>9823.5697143750003</v>
      </c>
      <c r="P49" s="39">
        <f>Payroll!W146</f>
        <v>9823.5697143750003</v>
      </c>
      <c r="Q49" s="36"/>
      <c r="R49" s="41"/>
      <c r="S49" s="354">
        <f t="shared" si="28"/>
        <v>117882.8365725</v>
      </c>
      <c r="T49" s="41"/>
      <c r="U49" s="362">
        <f t="shared" si="2"/>
        <v>78588.557715000003</v>
      </c>
      <c r="V49" s="41"/>
      <c r="W49" s="362">
        <v>631.36479726562493</v>
      </c>
      <c r="X49" s="362">
        <f t="shared" si="29"/>
        <v>117251.47177523439</v>
      </c>
      <c r="Y49" s="41"/>
      <c r="Z49" s="362">
        <v>6023.2210537499996</v>
      </c>
      <c r="AA49" s="362">
        <f t="shared" si="30"/>
        <v>-111859.61551875001</v>
      </c>
      <c r="AB49" s="41"/>
      <c r="AC49" s="247">
        <v>0</v>
      </c>
      <c r="AD49" s="247">
        <f t="shared" si="31"/>
        <v>-117882.8365725</v>
      </c>
    </row>
    <row r="50" spans="1:30" s="37" customFormat="1" ht="12" x14ac:dyDescent="0.2">
      <c r="C50" s="199">
        <v>6241</v>
      </c>
      <c r="D50" s="37" t="s">
        <v>196</v>
      </c>
      <c r="E50" s="39">
        <f>Payroll!L148</f>
        <v>0</v>
      </c>
      <c r="F50" s="39">
        <f>Payroll!M148</f>
        <v>0</v>
      </c>
      <c r="G50" s="39">
        <f>Payroll!N148</f>
        <v>0</v>
      </c>
      <c r="H50" s="39">
        <f>Payroll!O148</f>
        <v>0</v>
      </c>
      <c r="I50" s="39">
        <f>Payroll!P148</f>
        <v>0</v>
      </c>
      <c r="J50" s="39">
        <f>Payroll!Q148</f>
        <v>0</v>
      </c>
      <c r="K50" s="39">
        <f>Payroll!R148</f>
        <v>0</v>
      </c>
      <c r="L50" s="39">
        <f>Payroll!S148</f>
        <v>0</v>
      </c>
      <c r="M50" s="39">
        <f>Payroll!T148</f>
        <v>0</v>
      </c>
      <c r="N50" s="39">
        <f>Payroll!U148</f>
        <v>0</v>
      </c>
      <c r="O50" s="39">
        <f>Payroll!V148</f>
        <v>0</v>
      </c>
      <c r="P50" s="39">
        <f>Payroll!W148</f>
        <v>0</v>
      </c>
      <c r="Q50" s="36"/>
      <c r="R50" s="41"/>
      <c r="S50" s="354">
        <f t="shared" si="28"/>
        <v>0</v>
      </c>
      <c r="T50" s="41"/>
      <c r="U50" s="362">
        <f t="shared" si="2"/>
        <v>0</v>
      </c>
      <c r="V50" s="41"/>
      <c r="W50" s="362">
        <v>732.55614937500002</v>
      </c>
      <c r="X50" s="362">
        <f t="shared" si="29"/>
        <v>-732.55614937500002</v>
      </c>
      <c r="Y50" s="41"/>
      <c r="Z50" s="362">
        <v>790.49961750000023</v>
      </c>
      <c r="AA50" s="362">
        <f t="shared" si="30"/>
        <v>790.49961750000023</v>
      </c>
      <c r="AB50" s="41"/>
      <c r="AC50" s="247">
        <v>0</v>
      </c>
      <c r="AD50" s="247">
        <f t="shared" si="31"/>
        <v>0</v>
      </c>
    </row>
    <row r="51" spans="1:30" s="37" customFormat="1" ht="12" x14ac:dyDescent="0.2">
      <c r="C51" s="199">
        <v>6244</v>
      </c>
      <c r="D51" s="37" t="s">
        <v>197</v>
      </c>
      <c r="E51" s="39">
        <f>Payroll!L149</f>
        <v>595.50013750000005</v>
      </c>
      <c r="F51" s="39">
        <f>Payroll!M149</f>
        <v>595.50013750000005</v>
      </c>
      <c r="G51" s="39">
        <f>Payroll!N149</f>
        <v>606.37513750000005</v>
      </c>
      <c r="H51" s="39">
        <f>Payroll!O149</f>
        <v>610.00013750000005</v>
      </c>
      <c r="I51" s="39">
        <f>Payroll!P149</f>
        <v>617.25013750000005</v>
      </c>
      <c r="J51" s="39">
        <f>Payroll!Q149</f>
        <v>624.50013750000005</v>
      </c>
      <c r="K51" s="39">
        <f>Payroll!R149</f>
        <v>624.50013750000005</v>
      </c>
      <c r="L51" s="39">
        <f>Payroll!S149</f>
        <v>635.37513750000005</v>
      </c>
      <c r="M51" s="39">
        <f>Payroll!T149</f>
        <v>628.12513750000005</v>
      </c>
      <c r="N51" s="39">
        <f>Payroll!U149</f>
        <v>624.50013750000005</v>
      </c>
      <c r="O51" s="39">
        <f>Payroll!V149</f>
        <v>624.50013750000005</v>
      </c>
      <c r="P51" s="39">
        <f>Payroll!W149</f>
        <v>950.75013750000016</v>
      </c>
      <c r="Q51" s="36"/>
      <c r="R51" s="41"/>
      <c r="S51" s="354">
        <f t="shared" si="28"/>
        <v>7736.8766500000011</v>
      </c>
      <c r="T51" s="41"/>
      <c r="U51" s="362">
        <f t="shared" si="2"/>
        <v>4909.0011000000004</v>
      </c>
      <c r="V51" s="41"/>
      <c r="W51" s="362">
        <v>1267.182405</v>
      </c>
      <c r="X51" s="362">
        <f t="shared" si="29"/>
        <v>6469.6942450000006</v>
      </c>
      <c r="Y51" s="41"/>
      <c r="Z51" s="362">
        <v>1205.4994049999998</v>
      </c>
      <c r="AA51" s="362">
        <f t="shared" si="30"/>
        <v>-6531.3772450000015</v>
      </c>
      <c r="AB51" s="41"/>
      <c r="AC51" s="247">
        <v>0</v>
      </c>
      <c r="AD51" s="247">
        <f t="shared" si="31"/>
        <v>-7736.8766500000011</v>
      </c>
    </row>
    <row r="52" spans="1:30" s="37" customFormat="1" ht="12" x14ac:dyDescent="0.2">
      <c r="C52" s="199">
        <v>6247</v>
      </c>
      <c r="D52" s="37" t="s">
        <v>224</v>
      </c>
      <c r="E52" s="39">
        <f>Payroll!L150</f>
        <v>734.25255754166665</v>
      </c>
      <c r="F52" s="39">
        <f>Payroll!M150</f>
        <v>797.76255754166664</v>
      </c>
      <c r="G52" s="39">
        <f>Payroll!N150</f>
        <v>797.41455754166668</v>
      </c>
      <c r="H52" s="39">
        <f>Payroll!O150</f>
        <v>837.86955754166672</v>
      </c>
      <c r="I52" s="39">
        <f>Payroll!P150</f>
        <v>809.59455754166675</v>
      </c>
      <c r="J52" s="39">
        <f>Payroll!Q150</f>
        <v>781.60955754166673</v>
      </c>
      <c r="K52" s="39">
        <f>Payroll!R150</f>
        <v>820.75955754166671</v>
      </c>
      <c r="L52" s="39">
        <f>Payroll!S150</f>
        <v>769.42955754166667</v>
      </c>
      <c r="M52" s="39">
        <f>Payroll!T150</f>
        <v>804.66455754166668</v>
      </c>
      <c r="N52" s="39">
        <f>Payroll!U150</f>
        <v>832.93955754166666</v>
      </c>
      <c r="O52" s="39">
        <f>Payroll!V150</f>
        <v>832.99755754166665</v>
      </c>
      <c r="P52" s="39">
        <f>Payroll!W150</f>
        <v>734.25255754166665</v>
      </c>
      <c r="Q52" s="36"/>
      <c r="R52" s="41"/>
      <c r="S52" s="354">
        <f>SUM(E52:Q52)</f>
        <v>9553.5466904999994</v>
      </c>
      <c r="T52" s="41"/>
      <c r="U52" s="362">
        <f t="shared" si="2"/>
        <v>6348.6924603333327</v>
      </c>
      <c r="V52" s="41"/>
      <c r="W52" s="362">
        <v>60.031406953124993</v>
      </c>
      <c r="X52" s="362">
        <f t="shared" si="29"/>
        <v>9493.5152835468743</v>
      </c>
      <c r="Y52" s="41"/>
      <c r="Z52" s="362">
        <v>744.37970675000008</v>
      </c>
      <c r="AA52" s="362">
        <f t="shared" si="30"/>
        <v>-8809.1669837499994</v>
      </c>
      <c r="AB52" s="41"/>
      <c r="AC52" s="247">
        <v>0</v>
      </c>
      <c r="AD52" s="247">
        <f t="shared" si="31"/>
        <v>-9553.5466904999994</v>
      </c>
    </row>
    <row r="53" spans="1:30" s="37" customFormat="1" ht="12" x14ac:dyDescent="0.2">
      <c r="C53" s="199">
        <v>6261</v>
      </c>
      <c r="D53" s="37" t="s">
        <v>207</v>
      </c>
      <c r="E53" s="39">
        <f>Payroll!L152</f>
        <v>0</v>
      </c>
      <c r="F53" s="39">
        <f>Payroll!M152</f>
        <v>0</v>
      </c>
      <c r="G53" s="39">
        <f>Payroll!N152</f>
        <v>0</v>
      </c>
      <c r="H53" s="39">
        <f>Payroll!O152</f>
        <v>0</v>
      </c>
      <c r="I53" s="39">
        <f>Payroll!P152</f>
        <v>0</v>
      </c>
      <c r="J53" s="39">
        <f>Payroll!Q152</f>
        <v>0</v>
      </c>
      <c r="K53" s="39">
        <f>Payroll!R152</f>
        <v>0</v>
      </c>
      <c r="L53" s="39">
        <f>Payroll!S152</f>
        <v>0</v>
      </c>
      <c r="M53" s="39">
        <f>Payroll!T152</f>
        <v>0</v>
      </c>
      <c r="N53" s="39">
        <f>Payroll!U152</f>
        <v>0</v>
      </c>
      <c r="O53" s="39">
        <f>Payroll!V152</f>
        <v>0</v>
      </c>
      <c r="P53" s="39">
        <f>Payroll!W152</f>
        <v>0</v>
      </c>
      <c r="Q53" s="36"/>
      <c r="R53" s="41"/>
      <c r="S53" s="354">
        <f t="shared" si="28"/>
        <v>0</v>
      </c>
      <c r="T53" s="41"/>
      <c r="U53" s="362">
        <f t="shared" si="2"/>
        <v>0</v>
      </c>
      <c r="V53" s="41"/>
      <c r="W53" s="362">
        <v>936</v>
      </c>
      <c r="X53" s="362">
        <f t="shared" si="29"/>
        <v>-936</v>
      </c>
      <c r="Y53" s="41"/>
      <c r="Z53" s="362">
        <v>936</v>
      </c>
      <c r="AA53" s="362">
        <f t="shared" si="30"/>
        <v>936</v>
      </c>
      <c r="AB53" s="41"/>
      <c r="AC53" s="247">
        <v>0</v>
      </c>
      <c r="AD53" s="247">
        <f t="shared" si="31"/>
        <v>0</v>
      </c>
    </row>
    <row r="54" spans="1:30" s="37" customFormat="1" ht="12" x14ac:dyDescent="0.2">
      <c r="C54" s="199">
        <v>6264</v>
      </c>
      <c r="D54" s="37" t="s">
        <v>208</v>
      </c>
      <c r="E54" s="39">
        <f>Payroll!L153</f>
        <v>156</v>
      </c>
      <c r="F54" s="39">
        <f>Payroll!M153</f>
        <v>156</v>
      </c>
      <c r="G54" s="39">
        <f>Payroll!N153</f>
        <v>156</v>
      </c>
      <c r="H54" s="39">
        <f>Payroll!O153</f>
        <v>156</v>
      </c>
      <c r="I54" s="39">
        <f>Payroll!P153</f>
        <v>156</v>
      </c>
      <c r="J54" s="39">
        <f>Payroll!Q153</f>
        <v>156</v>
      </c>
      <c r="K54" s="39">
        <f>Payroll!R153</f>
        <v>156</v>
      </c>
      <c r="L54" s="39">
        <f>Payroll!S153</f>
        <v>156</v>
      </c>
      <c r="M54" s="39">
        <f>Payroll!T153</f>
        <v>156</v>
      </c>
      <c r="N54" s="39">
        <f>Payroll!U153</f>
        <v>156</v>
      </c>
      <c r="O54" s="39">
        <f>Payroll!V153</f>
        <v>156</v>
      </c>
      <c r="P54" s="39">
        <f>Payroll!W153</f>
        <v>156</v>
      </c>
      <c r="Q54" s="36"/>
      <c r="R54" s="41"/>
      <c r="S54" s="354">
        <f t="shared" si="28"/>
        <v>1872</v>
      </c>
      <c r="T54" s="41"/>
      <c r="U54" s="362">
        <f t="shared" si="2"/>
        <v>1248</v>
      </c>
      <c r="V54" s="41"/>
      <c r="W54" s="362">
        <v>936</v>
      </c>
      <c r="X54" s="362">
        <f t="shared" si="29"/>
        <v>936</v>
      </c>
      <c r="Y54" s="41"/>
      <c r="Z54" s="362">
        <v>936</v>
      </c>
      <c r="AA54" s="362">
        <f t="shared" si="30"/>
        <v>-936</v>
      </c>
      <c r="AB54" s="41"/>
      <c r="AC54" s="247">
        <v>0</v>
      </c>
      <c r="AD54" s="247">
        <f t="shared" si="31"/>
        <v>-1872</v>
      </c>
    </row>
    <row r="55" spans="1:30" s="37" customFormat="1" ht="12" x14ac:dyDescent="0.2">
      <c r="C55" s="199">
        <v>6267</v>
      </c>
      <c r="D55" s="37" t="s">
        <v>225</v>
      </c>
      <c r="E55" s="39">
        <f>Payroll!L154</f>
        <v>360.7</v>
      </c>
      <c r="F55" s="39">
        <f>Payroll!M154</f>
        <v>360.7</v>
      </c>
      <c r="G55" s="39">
        <f>Payroll!N154</f>
        <v>360.7</v>
      </c>
      <c r="H55" s="39">
        <f>Payroll!O154</f>
        <v>360.7</v>
      </c>
      <c r="I55" s="39">
        <f>Payroll!P154</f>
        <v>360.7</v>
      </c>
      <c r="J55" s="39">
        <f>Payroll!Q154</f>
        <v>360.7</v>
      </c>
      <c r="K55" s="39">
        <f>Payroll!R154</f>
        <v>360.7</v>
      </c>
      <c r="L55" s="39">
        <f>Payroll!S154</f>
        <v>360.7</v>
      </c>
      <c r="M55" s="39">
        <f>Payroll!T154</f>
        <v>360.7</v>
      </c>
      <c r="N55" s="39">
        <f>Payroll!U154</f>
        <v>360.7</v>
      </c>
      <c r="O55" s="39">
        <f>Payroll!V154</f>
        <v>360.7</v>
      </c>
      <c r="P55" s="39">
        <f>Payroll!W154</f>
        <v>360.7</v>
      </c>
      <c r="Q55" s="36"/>
      <c r="R55" s="41"/>
      <c r="S55" s="354">
        <f t="shared" si="28"/>
        <v>4328.3999999999987</v>
      </c>
      <c r="T55" s="41"/>
      <c r="U55" s="362">
        <f t="shared" si="2"/>
        <v>2885.5999999999995</v>
      </c>
      <c r="V55" s="41"/>
      <c r="W55" s="362">
        <v>124.20291093750001</v>
      </c>
      <c r="X55" s="362">
        <f t="shared" si="29"/>
        <v>4204.1970890624989</v>
      </c>
      <c r="Y55" s="41"/>
      <c r="Z55" s="362">
        <v>1201.2</v>
      </c>
      <c r="AA55" s="362">
        <f t="shared" si="30"/>
        <v>-3127.1999999999989</v>
      </c>
      <c r="AB55" s="41"/>
      <c r="AC55" s="247">
        <v>0</v>
      </c>
      <c r="AD55" s="247">
        <f t="shared" si="31"/>
        <v>-4328.3999999999987</v>
      </c>
    </row>
    <row r="56" spans="1:30" s="37" customFormat="1" ht="12" x14ac:dyDescent="0.2">
      <c r="C56" s="199">
        <v>6271</v>
      </c>
      <c r="D56" s="37" t="s">
        <v>209</v>
      </c>
      <c r="E56" s="39">
        <f>Payroll!L156</f>
        <v>0</v>
      </c>
      <c r="F56" s="39">
        <f>Payroll!M156</f>
        <v>0</v>
      </c>
      <c r="G56" s="39">
        <f>Payroll!N156</f>
        <v>0</v>
      </c>
      <c r="H56" s="39">
        <f>Payroll!O156</f>
        <v>0</v>
      </c>
      <c r="I56" s="39">
        <f>Payroll!P156</f>
        <v>0</v>
      </c>
      <c r="J56" s="39">
        <f>Payroll!Q156</f>
        <v>0</v>
      </c>
      <c r="K56" s="39">
        <f>Payroll!R156</f>
        <v>0</v>
      </c>
      <c r="L56" s="39">
        <f>Payroll!S156</f>
        <v>0</v>
      </c>
      <c r="M56" s="39">
        <f>Payroll!T156</f>
        <v>0</v>
      </c>
      <c r="N56" s="39">
        <f>Payroll!U156</f>
        <v>0</v>
      </c>
      <c r="O56" s="39">
        <f>Payroll!V156</f>
        <v>0</v>
      </c>
      <c r="P56" s="39">
        <f>Payroll!W156</f>
        <v>0</v>
      </c>
      <c r="Q56" s="36"/>
      <c r="R56" s="41"/>
      <c r="S56" s="354">
        <f t="shared" si="28"/>
        <v>0</v>
      </c>
      <c r="T56" s="41"/>
      <c r="U56" s="362">
        <f t="shared" si="2"/>
        <v>0</v>
      </c>
      <c r="V56" s="41"/>
      <c r="W56" s="362">
        <v>328.38723937499998</v>
      </c>
      <c r="X56" s="362">
        <f t="shared" si="29"/>
        <v>-328.38723937499998</v>
      </c>
      <c r="Y56" s="41"/>
      <c r="Z56" s="362">
        <v>354.36189750000011</v>
      </c>
      <c r="AA56" s="362">
        <f t="shared" si="30"/>
        <v>354.36189750000011</v>
      </c>
      <c r="AB56" s="41"/>
      <c r="AC56" s="247">
        <v>0</v>
      </c>
      <c r="AD56" s="247">
        <f t="shared" si="31"/>
        <v>0</v>
      </c>
    </row>
    <row r="57" spans="1:30" s="37" customFormat="1" ht="12" x14ac:dyDescent="0.2">
      <c r="C57" s="199">
        <v>6274</v>
      </c>
      <c r="D57" s="37" t="s">
        <v>210</v>
      </c>
      <c r="E57" s="39">
        <f>Payroll!L157</f>
        <v>333.48606249999995</v>
      </c>
      <c r="F57" s="39">
        <f>Payroll!M157</f>
        <v>333.48606249999995</v>
      </c>
      <c r="G57" s="39">
        <f>Payroll!N157</f>
        <v>333.48606249999995</v>
      </c>
      <c r="H57" s="39">
        <f>Payroll!O157</f>
        <v>333.48606249999995</v>
      </c>
      <c r="I57" s="39">
        <f>Payroll!P157</f>
        <v>333.48606249999995</v>
      </c>
      <c r="J57" s="39">
        <f>Payroll!Q157</f>
        <v>333.48606249999995</v>
      </c>
      <c r="K57" s="39">
        <f>Payroll!R157</f>
        <v>333.48606249999995</v>
      </c>
      <c r="L57" s="39">
        <f>Payroll!S157</f>
        <v>333.48606249999995</v>
      </c>
      <c r="M57" s="39">
        <f>Payroll!T157</f>
        <v>333.48606249999995</v>
      </c>
      <c r="N57" s="39">
        <f>Payroll!U157</f>
        <v>333.48606249999995</v>
      </c>
      <c r="O57" s="39">
        <f>Payroll!V157</f>
        <v>333.48606249999995</v>
      </c>
      <c r="P57" s="39">
        <f>Payroll!W157</f>
        <v>333.48606249999995</v>
      </c>
      <c r="Q57" s="36"/>
      <c r="R57" s="41"/>
      <c r="S57" s="354">
        <f>SUM(E57:Q57)</f>
        <v>4001.83275</v>
      </c>
      <c r="T57" s="41"/>
      <c r="U57" s="362">
        <f t="shared" si="2"/>
        <v>2667.8884999999996</v>
      </c>
      <c r="V57" s="41"/>
      <c r="W57" s="362">
        <v>568.04728499999999</v>
      </c>
      <c r="X57" s="362">
        <f t="shared" si="29"/>
        <v>3433.7854649999999</v>
      </c>
      <c r="Y57" s="41"/>
      <c r="Z57" s="362">
        <v>540.39628499999992</v>
      </c>
      <c r="AA57" s="362">
        <f t="shared" si="30"/>
        <v>-3461.4364650000002</v>
      </c>
      <c r="AB57" s="41"/>
      <c r="AC57" s="247">
        <v>0</v>
      </c>
      <c r="AD57" s="247">
        <f t="shared" si="31"/>
        <v>-4001.83275</v>
      </c>
    </row>
    <row r="58" spans="1:30" s="37" customFormat="1" ht="12" x14ac:dyDescent="0.2">
      <c r="C58" s="199">
        <v>6277</v>
      </c>
      <c r="D58" s="37" t="s">
        <v>226</v>
      </c>
      <c r="E58" s="39">
        <f>Payroll!L158</f>
        <v>405.60330562500002</v>
      </c>
      <c r="F58" s="39">
        <f>Payroll!M158</f>
        <v>405.60330562500002</v>
      </c>
      <c r="G58" s="39">
        <f>Payroll!N158</f>
        <v>405.60330562500002</v>
      </c>
      <c r="H58" s="39">
        <f>Payroll!O158</f>
        <v>405.60330562500002</v>
      </c>
      <c r="I58" s="39">
        <f>Payroll!P158</f>
        <v>405.60330562500002</v>
      </c>
      <c r="J58" s="39">
        <f>Payroll!Q158</f>
        <v>405.60330562500002</v>
      </c>
      <c r="K58" s="39">
        <f>Payroll!R158</f>
        <v>405.60330562500002</v>
      </c>
      <c r="L58" s="39">
        <f>Payroll!S158</f>
        <v>405.60330562500002</v>
      </c>
      <c r="M58" s="39">
        <f>Payroll!T158</f>
        <v>405.60330562500002</v>
      </c>
      <c r="N58" s="39">
        <f>Payroll!U158</f>
        <v>405.60330562500002</v>
      </c>
      <c r="O58" s="39">
        <f>Payroll!V158</f>
        <v>405.60330562500002</v>
      </c>
      <c r="P58" s="39">
        <f>Payroll!W158</f>
        <v>405.60330562500002</v>
      </c>
      <c r="Q58" s="36"/>
      <c r="R58" s="41"/>
      <c r="S58" s="354">
        <f t="shared" si="28"/>
        <v>4867.2396674999991</v>
      </c>
      <c r="T58" s="41"/>
      <c r="U58" s="362">
        <f t="shared" si="2"/>
        <v>3244.8264449999997</v>
      </c>
      <c r="V58" s="41"/>
      <c r="W58" s="362">
        <v>26.910630703124998</v>
      </c>
      <c r="X58" s="362">
        <f t="shared" si="29"/>
        <v>4840.3290367968739</v>
      </c>
      <c r="Y58" s="41"/>
      <c r="Z58" s="362">
        <v>333.68745474999997</v>
      </c>
      <c r="AA58" s="362">
        <f t="shared" si="30"/>
        <v>-4533.5522127499989</v>
      </c>
      <c r="AB58" s="41"/>
      <c r="AC58" s="247">
        <v>0</v>
      </c>
      <c r="AD58" s="247">
        <f t="shared" si="31"/>
        <v>-4867.2396674999991</v>
      </c>
    </row>
    <row r="59" spans="1:30" s="37" customFormat="1" ht="12" x14ac:dyDescent="0.2">
      <c r="C59" s="199">
        <v>6281</v>
      </c>
      <c r="D59" s="37" t="s">
        <v>193</v>
      </c>
      <c r="E59" s="39">
        <f>Payroll!L160</f>
        <v>0</v>
      </c>
      <c r="F59" s="39">
        <f>Payroll!M160</f>
        <v>0</v>
      </c>
      <c r="G59" s="39">
        <f>Payroll!N160</f>
        <v>0</v>
      </c>
      <c r="H59" s="39">
        <f>Payroll!O160</f>
        <v>0</v>
      </c>
      <c r="I59" s="39">
        <f>Payroll!P160</f>
        <v>0</v>
      </c>
      <c r="J59" s="39">
        <f>Payroll!Q160</f>
        <v>0</v>
      </c>
      <c r="K59" s="39">
        <f>Payroll!R160</f>
        <v>0</v>
      </c>
      <c r="L59" s="39">
        <f>Payroll!S160</f>
        <v>0</v>
      </c>
      <c r="M59" s="39">
        <f>Payroll!T160</f>
        <v>0</v>
      </c>
      <c r="N59" s="39">
        <f>Payroll!U160</f>
        <v>0</v>
      </c>
      <c r="O59" s="39">
        <f>Payroll!V160</f>
        <v>0</v>
      </c>
      <c r="P59" s="39">
        <f>Payroll!W160</f>
        <v>0</v>
      </c>
      <c r="Q59" s="36"/>
      <c r="R59" s="41"/>
      <c r="S59" s="354">
        <f t="shared" si="28"/>
        <v>0</v>
      </c>
      <c r="T59" s="41"/>
      <c r="U59" s="362">
        <f t="shared" si="2"/>
        <v>0</v>
      </c>
      <c r="V59" s="41"/>
      <c r="W59" s="362">
        <v>4860</v>
      </c>
      <c r="X59" s="362">
        <f t="shared" si="29"/>
        <v>-4860</v>
      </c>
      <c r="Y59" s="41"/>
      <c r="Z59" s="362">
        <v>4860</v>
      </c>
      <c r="AA59" s="362">
        <f t="shared" si="30"/>
        <v>4860</v>
      </c>
      <c r="AB59" s="41"/>
      <c r="AC59" s="247">
        <v>0</v>
      </c>
      <c r="AD59" s="247">
        <f t="shared" si="31"/>
        <v>0</v>
      </c>
    </row>
    <row r="60" spans="1:30" s="37" customFormat="1" ht="12" x14ac:dyDescent="0.2">
      <c r="C60" s="199">
        <v>6284</v>
      </c>
      <c r="D60" s="37" t="s">
        <v>194</v>
      </c>
      <c r="E60" s="39">
        <f>Payroll!L161</f>
        <v>1620</v>
      </c>
      <c r="F60" s="39">
        <f>Payroll!M161</f>
        <v>1620</v>
      </c>
      <c r="G60" s="39">
        <f>Payroll!N161</f>
        <v>1620</v>
      </c>
      <c r="H60" s="39">
        <f>Payroll!O161</f>
        <v>1620</v>
      </c>
      <c r="I60" s="39">
        <f>Payroll!P161</f>
        <v>1620</v>
      </c>
      <c r="J60" s="39">
        <f>Payroll!Q161</f>
        <v>1620</v>
      </c>
      <c r="K60" s="39">
        <f>Payroll!R161</f>
        <v>1620</v>
      </c>
      <c r="L60" s="39">
        <f>Payroll!S161</f>
        <v>1620</v>
      </c>
      <c r="M60" s="39">
        <f>Payroll!T161</f>
        <v>1620</v>
      </c>
      <c r="N60" s="39">
        <f>Payroll!U161</f>
        <v>1620</v>
      </c>
      <c r="O60" s="39">
        <f>Payroll!V161</f>
        <v>1620</v>
      </c>
      <c r="P60" s="39">
        <f>Payroll!W161</f>
        <v>1620</v>
      </c>
      <c r="Q60" s="36"/>
      <c r="R60" s="41"/>
      <c r="S60" s="354">
        <f t="shared" si="28"/>
        <v>19440</v>
      </c>
      <c r="T60" s="41"/>
      <c r="U60" s="362">
        <f t="shared" si="2"/>
        <v>12960</v>
      </c>
      <c r="V60" s="41"/>
      <c r="W60" s="362">
        <v>4860</v>
      </c>
      <c r="X60" s="362">
        <f t="shared" si="29"/>
        <v>14580</v>
      </c>
      <c r="Y60" s="41"/>
      <c r="Z60" s="362">
        <v>7260</v>
      </c>
      <c r="AA60" s="362">
        <f t="shared" si="30"/>
        <v>-12180</v>
      </c>
      <c r="AB60" s="41"/>
      <c r="AC60" s="247">
        <v>0</v>
      </c>
      <c r="AD60" s="247">
        <f t="shared" si="31"/>
        <v>-19440</v>
      </c>
    </row>
    <row r="61" spans="1:30" s="37" customFormat="1" ht="12" x14ac:dyDescent="0.2">
      <c r="C61" s="199">
        <v>6287</v>
      </c>
      <c r="D61" s="37" t="s">
        <v>227</v>
      </c>
      <c r="E61" s="39">
        <f>Payroll!L162</f>
        <v>3240</v>
      </c>
      <c r="F61" s="39">
        <f>Payroll!M162</f>
        <v>3240</v>
      </c>
      <c r="G61" s="39">
        <f>Payroll!N162</f>
        <v>3240</v>
      </c>
      <c r="H61" s="39">
        <f>Payroll!O162</f>
        <v>3240</v>
      </c>
      <c r="I61" s="39">
        <f>Payroll!P162</f>
        <v>3240</v>
      </c>
      <c r="J61" s="39">
        <f>Payroll!Q162</f>
        <v>3240</v>
      </c>
      <c r="K61" s="39">
        <f>Payroll!R162</f>
        <v>3240</v>
      </c>
      <c r="L61" s="39">
        <f>Payroll!S162</f>
        <v>3240</v>
      </c>
      <c r="M61" s="39">
        <f>Payroll!T162</f>
        <v>3240</v>
      </c>
      <c r="N61" s="39">
        <f>Payroll!U162</f>
        <v>3240</v>
      </c>
      <c r="O61" s="39">
        <f>Payroll!V162</f>
        <v>3240</v>
      </c>
      <c r="P61" s="39">
        <f>Payroll!W162</f>
        <v>3240</v>
      </c>
      <c r="Q61" s="36"/>
      <c r="R61" s="41"/>
      <c r="S61" s="354">
        <f t="shared" si="28"/>
        <v>38880</v>
      </c>
      <c r="T61" s="41"/>
      <c r="U61" s="362">
        <f t="shared" si="2"/>
        <v>25920</v>
      </c>
      <c r="V61" s="41"/>
      <c r="W61" s="362">
        <v>0</v>
      </c>
      <c r="X61" s="362">
        <f t="shared" si="29"/>
        <v>38880</v>
      </c>
      <c r="Y61" s="41"/>
      <c r="Z61" s="362">
        <v>4860</v>
      </c>
      <c r="AA61" s="362">
        <f t="shared" si="30"/>
        <v>-34020</v>
      </c>
      <c r="AB61" s="41"/>
      <c r="AC61" s="247">
        <v>0</v>
      </c>
      <c r="AD61" s="247">
        <f t="shared" si="31"/>
        <v>-38880</v>
      </c>
    </row>
    <row r="62" spans="1:30" s="37" customFormat="1" ht="12" x14ac:dyDescent="0.2">
      <c r="C62" s="38"/>
      <c r="E62" s="50">
        <f t="shared" ref="E62:O62" si="32">SUBTOTAL(9,E43:E61)</f>
        <v>28564.448798375</v>
      </c>
      <c r="F62" s="50">
        <f t="shared" si="32"/>
        <v>28627.958798375003</v>
      </c>
      <c r="G62" s="50">
        <f t="shared" si="32"/>
        <v>28638.485798375001</v>
      </c>
      <c r="H62" s="50">
        <f t="shared" si="32"/>
        <v>28682.565798375002</v>
      </c>
      <c r="I62" s="50">
        <f t="shared" si="32"/>
        <v>28661.540798375001</v>
      </c>
      <c r="J62" s="50">
        <f t="shared" si="32"/>
        <v>28640.805798375</v>
      </c>
      <c r="K62" s="50">
        <f t="shared" si="32"/>
        <v>28679.955798375002</v>
      </c>
      <c r="L62" s="50">
        <f t="shared" si="32"/>
        <v>28639.500798375</v>
      </c>
      <c r="M62" s="50">
        <f t="shared" si="32"/>
        <v>28667.485798375001</v>
      </c>
      <c r="N62" s="50">
        <f t="shared" si="32"/>
        <v>28692.135798375002</v>
      </c>
      <c r="O62" s="50">
        <f t="shared" si="32"/>
        <v>28692.193798375003</v>
      </c>
      <c r="P62" s="50">
        <f t="shared" ref="P62" si="33">SUBTOTAL(9,P43:P61)</f>
        <v>28919.698798375</v>
      </c>
      <c r="Q62" s="51"/>
      <c r="R62" s="41"/>
      <c r="S62" s="577">
        <f>SUBTOTAL(9,S43:S61)</f>
        <v>344106.77658050007</v>
      </c>
      <c r="T62" s="41"/>
      <c r="U62" s="363">
        <f>SUM(E62:L62)</f>
        <v>229135.262387</v>
      </c>
      <c r="V62" s="41"/>
      <c r="W62" s="363">
        <v>35763.540896484366</v>
      </c>
      <c r="X62" s="363">
        <f>SUBTOTAL(9,X43:X61)</f>
        <v>308343.23568401567</v>
      </c>
      <c r="Y62" s="41"/>
      <c r="Z62" s="363">
        <v>52002.728932750004</v>
      </c>
      <c r="AA62" s="363">
        <f>SUBTOTAL(9,AA43:AA61)</f>
        <v>-292104.04764775006</v>
      </c>
      <c r="AB62" s="41"/>
      <c r="AC62" s="249">
        <f>SUBTOTAL(9,AC43:AC61)</f>
        <v>0</v>
      </c>
      <c r="AD62" s="249">
        <f>SUBTOTAL(9,AD43:AD61)</f>
        <v>-344106.77658050007</v>
      </c>
    </row>
    <row r="63" spans="1:30" s="37" customFormat="1" ht="12" x14ac:dyDescent="0.2">
      <c r="C63" s="49" t="s">
        <v>9</v>
      </c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44"/>
      <c r="R63" s="41"/>
      <c r="S63" s="354"/>
      <c r="T63" s="41"/>
      <c r="U63" s="362">
        <f t="shared" si="2"/>
        <v>0</v>
      </c>
      <c r="V63" s="41"/>
      <c r="W63" s="362"/>
      <c r="X63" s="362"/>
      <c r="Y63" s="41"/>
      <c r="Z63" s="362"/>
      <c r="AA63" s="362"/>
      <c r="AB63" s="41"/>
      <c r="AC63" s="247"/>
      <c r="AD63" s="247"/>
    </row>
    <row r="64" spans="1:30" s="37" customFormat="1" ht="12" x14ac:dyDescent="0.2">
      <c r="A64" s="38"/>
      <c r="C64" s="199">
        <v>6300</v>
      </c>
      <c r="D64" s="37" t="s">
        <v>9</v>
      </c>
      <c r="E64" s="39">
        <f>'Exp Details'!K19</f>
        <v>3000</v>
      </c>
      <c r="F64" s="39">
        <f>'Exp Details'!L19</f>
        <v>7590</v>
      </c>
      <c r="G64" s="39">
        <f>'Exp Details'!M19</f>
        <v>8095</v>
      </c>
      <c r="H64" s="39">
        <f>'Exp Details'!N19</f>
        <v>8390</v>
      </c>
      <c r="I64" s="39">
        <f>'Exp Details'!O19</f>
        <v>4590</v>
      </c>
      <c r="J64" s="39">
        <f>'Exp Details'!P19</f>
        <v>3730</v>
      </c>
      <c r="K64" s="39">
        <f>'Exp Details'!Q19</f>
        <v>4550</v>
      </c>
      <c r="L64" s="39">
        <f>'Exp Details'!R19</f>
        <v>3770</v>
      </c>
      <c r="M64" s="39">
        <f>'Exp Details'!S19</f>
        <v>1950</v>
      </c>
      <c r="N64" s="39">
        <f>'Exp Details'!T19</f>
        <v>2700</v>
      </c>
      <c r="O64" s="39">
        <f>'Exp Details'!U19</f>
        <v>2000</v>
      </c>
      <c r="P64" s="39">
        <f>'Exp Details'!V19</f>
        <v>2250</v>
      </c>
      <c r="Q64" s="36"/>
      <c r="R64" s="41"/>
      <c r="S64" s="354">
        <f t="shared" ref="S64:S73" si="34">SUM(E64:Q64)</f>
        <v>52615</v>
      </c>
      <c r="T64" s="41"/>
      <c r="U64" s="362">
        <f t="shared" si="2"/>
        <v>43715</v>
      </c>
      <c r="V64" s="41"/>
      <c r="W64" s="362">
        <v>1500</v>
      </c>
      <c r="X64" s="362">
        <f t="shared" ref="X64:X73" si="35">S64-W64</f>
        <v>51115</v>
      </c>
      <c r="Y64" s="41"/>
      <c r="Z64" s="362">
        <v>2250</v>
      </c>
      <c r="AA64" s="362">
        <f>Z64-S64</f>
        <v>-50365</v>
      </c>
      <c r="AB64" s="41"/>
      <c r="AC64" s="247">
        <v>0</v>
      </c>
      <c r="AD64" s="247">
        <f>AC64-S64</f>
        <v>-52615</v>
      </c>
    </row>
    <row r="65" spans="1:30" s="37" customFormat="1" ht="12" x14ac:dyDescent="0.2">
      <c r="A65" s="38"/>
      <c r="C65" s="199">
        <v>6320</v>
      </c>
      <c r="D65" s="37" t="s">
        <v>10</v>
      </c>
      <c r="E65" s="39">
        <f>'Exp Details'!K28</f>
        <v>0</v>
      </c>
      <c r="F65" s="39">
        <f>'Exp Details'!L28</f>
        <v>0</v>
      </c>
      <c r="G65" s="39">
        <f>'Exp Details'!M28</f>
        <v>13200</v>
      </c>
      <c r="H65" s="39">
        <f>'Exp Details'!N28</f>
        <v>250</v>
      </c>
      <c r="I65" s="39">
        <f>'Exp Details'!O28</f>
        <v>0</v>
      </c>
      <c r="J65" s="39">
        <f>'Exp Details'!P28</f>
        <v>0</v>
      </c>
      <c r="K65" s="39">
        <f>'Exp Details'!Q28</f>
        <v>12000</v>
      </c>
      <c r="L65" s="39">
        <f>'Exp Details'!R28</f>
        <v>300</v>
      </c>
      <c r="M65" s="39">
        <f>'Exp Details'!S28</f>
        <v>125</v>
      </c>
      <c r="N65" s="39">
        <f>'Exp Details'!T28</f>
        <v>12000</v>
      </c>
      <c r="O65" s="39">
        <f>'Exp Details'!U28</f>
        <v>0</v>
      </c>
      <c r="P65" s="39">
        <f>'Exp Details'!V28</f>
        <v>12000</v>
      </c>
      <c r="Q65" s="36"/>
      <c r="R65" s="41"/>
      <c r="S65" s="354">
        <f t="shared" si="34"/>
        <v>49875</v>
      </c>
      <c r="T65" s="41"/>
      <c r="U65" s="362">
        <f t="shared" si="2"/>
        <v>25750</v>
      </c>
      <c r="V65" s="41"/>
      <c r="W65" s="362">
        <v>750</v>
      </c>
      <c r="X65" s="362">
        <f t="shared" si="35"/>
        <v>49125</v>
      </c>
      <c r="Y65" s="41"/>
      <c r="Z65" s="362">
        <v>2250</v>
      </c>
      <c r="AA65" s="362">
        <f>Z65-S65</f>
        <v>-47625</v>
      </c>
      <c r="AB65" s="41"/>
      <c r="AC65" s="247">
        <v>0</v>
      </c>
      <c r="AD65" s="247">
        <f>AC65-S65</f>
        <v>-49875</v>
      </c>
    </row>
    <row r="66" spans="1:30" s="37" customFormat="1" ht="12" x14ac:dyDescent="0.2">
      <c r="A66" s="38"/>
      <c r="C66" s="199">
        <v>6331</v>
      </c>
      <c r="D66" s="37" t="s">
        <v>11</v>
      </c>
      <c r="E66" s="39">
        <f>'Exp Details'!K34</f>
        <v>0</v>
      </c>
      <c r="F66" s="39">
        <f>'Exp Details'!L34</f>
        <v>2000</v>
      </c>
      <c r="G66" s="39">
        <f>'Exp Details'!M34</f>
        <v>0</v>
      </c>
      <c r="H66" s="39">
        <f>'Exp Details'!N34</f>
        <v>0</v>
      </c>
      <c r="I66" s="39">
        <f>'Exp Details'!O34</f>
        <v>0</v>
      </c>
      <c r="J66" s="39">
        <f>'Exp Details'!P34</f>
        <v>0</v>
      </c>
      <c r="K66" s="39">
        <f>'Exp Details'!Q34</f>
        <v>0</v>
      </c>
      <c r="L66" s="39">
        <f>'Exp Details'!R34</f>
        <v>0</v>
      </c>
      <c r="M66" s="39">
        <f>'Exp Details'!S34</f>
        <v>0</v>
      </c>
      <c r="N66" s="39">
        <f>'Exp Details'!T34</f>
        <v>0</v>
      </c>
      <c r="O66" s="39">
        <f>'Exp Details'!U34</f>
        <v>0</v>
      </c>
      <c r="P66" s="39">
        <f>'Exp Details'!V34</f>
        <v>0</v>
      </c>
      <c r="Q66" s="36"/>
      <c r="R66" s="41"/>
      <c r="S66" s="354">
        <f t="shared" si="34"/>
        <v>2000</v>
      </c>
      <c r="T66" s="41"/>
      <c r="U66" s="362">
        <f t="shared" si="2"/>
        <v>2000</v>
      </c>
      <c r="V66" s="41"/>
      <c r="W66" s="362">
        <v>0</v>
      </c>
      <c r="X66" s="362">
        <f t="shared" si="35"/>
        <v>2000</v>
      </c>
      <c r="Y66" s="41"/>
      <c r="Z66" s="362">
        <v>1000.0000000000001</v>
      </c>
      <c r="AA66" s="362">
        <f>Z66-S66</f>
        <v>-999.99999999999989</v>
      </c>
      <c r="AB66" s="41"/>
      <c r="AC66" s="247">
        <v>0</v>
      </c>
      <c r="AD66" s="247">
        <f>AC66-S66</f>
        <v>-2000</v>
      </c>
    </row>
    <row r="67" spans="1:30" s="37" customFormat="1" ht="12" x14ac:dyDescent="0.2">
      <c r="A67" s="38"/>
      <c r="C67" s="199">
        <v>6334</v>
      </c>
      <c r="D67" s="37" t="s">
        <v>12</v>
      </c>
      <c r="E67" s="39">
        <f>'Exp Details'!K55</f>
        <v>620</v>
      </c>
      <c r="F67" s="39">
        <f>'Exp Details'!L55</f>
        <v>4468</v>
      </c>
      <c r="G67" s="39">
        <f>'Exp Details'!M55</f>
        <v>1420</v>
      </c>
      <c r="H67" s="39">
        <f>'Exp Details'!N55</f>
        <v>2020</v>
      </c>
      <c r="I67" s="39">
        <f>'Exp Details'!O55</f>
        <v>620</v>
      </c>
      <c r="J67" s="39">
        <f>'Exp Details'!P55</f>
        <v>1045</v>
      </c>
      <c r="K67" s="39">
        <f>'Exp Details'!Q55</f>
        <v>1020</v>
      </c>
      <c r="L67" s="39">
        <f>'Exp Details'!R55</f>
        <v>1620</v>
      </c>
      <c r="M67" s="39">
        <f>'Exp Details'!S55</f>
        <v>620</v>
      </c>
      <c r="N67" s="39">
        <f>'Exp Details'!T55</f>
        <v>1020</v>
      </c>
      <c r="O67" s="39">
        <f>'Exp Details'!U55</f>
        <v>620</v>
      </c>
      <c r="P67" s="39">
        <f>'Exp Details'!V55</f>
        <v>620</v>
      </c>
      <c r="Q67" s="36"/>
      <c r="R67" s="41"/>
      <c r="S67" s="354">
        <f t="shared" si="34"/>
        <v>15713</v>
      </c>
      <c r="T67" s="41"/>
      <c r="U67" s="362">
        <f t="shared" si="2"/>
        <v>12833</v>
      </c>
      <c r="V67" s="41"/>
      <c r="W67" s="362">
        <v>1000.0000000000001</v>
      </c>
      <c r="X67" s="362">
        <f t="shared" si="35"/>
        <v>14713</v>
      </c>
      <c r="Y67" s="41"/>
      <c r="Z67" s="362">
        <v>1000.0000000000001</v>
      </c>
      <c r="AA67" s="362">
        <f>Z67-S67</f>
        <v>-14713</v>
      </c>
      <c r="AB67" s="41"/>
      <c r="AC67" s="247">
        <v>0</v>
      </c>
      <c r="AD67" s="247">
        <f>AC67-S67</f>
        <v>-15713</v>
      </c>
    </row>
    <row r="68" spans="1:30" s="37" customFormat="1" ht="12" x14ac:dyDescent="0.2">
      <c r="A68" s="38"/>
      <c r="C68" s="199">
        <v>6336</v>
      </c>
      <c r="D68" s="37" t="s">
        <v>13</v>
      </c>
      <c r="E68" s="39">
        <f>'Exp Details'!K74</f>
        <v>25</v>
      </c>
      <c r="F68" s="39">
        <f>'Exp Details'!L74</f>
        <v>2425</v>
      </c>
      <c r="G68" s="39">
        <f>'Exp Details'!M74</f>
        <v>425</v>
      </c>
      <c r="H68" s="39">
        <f>'Exp Details'!N74</f>
        <v>2275</v>
      </c>
      <c r="I68" s="39">
        <f>'Exp Details'!O74</f>
        <v>25</v>
      </c>
      <c r="J68" s="39">
        <f>'Exp Details'!P74</f>
        <v>535</v>
      </c>
      <c r="K68" s="39">
        <f>'Exp Details'!Q74</f>
        <v>25</v>
      </c>
      <c r="L68" s="39">
        <f>'Exp Details'!R74</f>
        <v>2275</v>
      </c>
      <c r="M68" s="39">
        <f>'Exp Details'!S74</f>
        <v>25</v>
      </c>
      <c r="N68" s="39">
        <f>'Exp Details'!T74</f>
        <v>25</v>
      </c>
      <c r="O68" s="39">
        <f>'Exp Details'!U74</f>
        <v>25</v>
      </c>
      <c r="P68" s="39">
        <f>'Exp Details'!V74</f>
        <v>25</v>
      </c>
      <c r="Q68" s="36"/>
      <c r="R68" s="41"/>
      <c r="S68" s="354">
        <f>SUM(E68:Q68)</f>
        <v>8110</v>
      </c>
      <c r="T68" s="41"/>
      <c r="U68" s="362">
        <f t="shared" si="2"/>
        <v>8010</v>
      </c>
      <c r="V68" s="41"/>
      <c r="W68" s="362">
        <v>0</v>
      </c>
      <c r="X68" s="362">
        <f t="shared" si="35"/>
        <v>8110</v>
      </c>
      <c r="Y68" s="41"/>
      <c r="Z68" s="362">
        <v>0</v>
      </c>
      <c r="AA68" s="362">
        <f t="shared" ref="AA68:AA73" si="36">Z68-S68</f>
        <v>-8110</v>
      </c>
      <c r="AB68" s="41"/>
      <c r="AC68" s="247">
        <v>0</v>
      </c>
      <c r="AD68" s="247">
        <f t="shared" ref="AD68:AD73" si="37">AC68-S68</f>
        <v>-8110</v>
      </c>
    </row>
    <row r="69" spans="1:30" s="37" customFormat="1" ht="12" x14ac:dyDescent="0.2">
      <c r="A69" s="38"/>
      <c r="C69" s="199">
        <v>6337</v>
      </c>
      <c r="D69" s="37" t="s">
        <v>14</v>
      </c>
      <c r="E69" s="39">
        <f>'Exp Details'!K81</f>
        <v>25</v>
      </c>
      <c r="F69" s="39">
        <f>'Exp Details'!L81</f>
        <v>2425</v>
      </c>
      <c r="G69" s="39">
        <f>'Exp Details'!M81</f>
        <v>425</v>
      </c>
      <c r="H69" s="39">
        <f>'Exp Details'!N81</f>
        <v>2275</v>
      </c>
      <c r="I69" s="39">
        <f>'Exp Details'!O81</f>
        <v>25</v>
      </c>
      <c r="J69" s="39">
        <f>'Exp Details'!P81</f>
        <v>535</v>
      </c>
      <c r="K69" s="39">
        <f>'Exp Details'!Q81</f>
        <v>25</v>
      </c>
      <c r="L69" s="39">
        <f>'Exp Details'!R81</f>
        <v>2275</v>
      </c>
      <c r="M69" s="39">
        <f>'Exp Details'!S81</f>
        <v>25</v>
      </c>
      <c r="N69" s="39">
        <f>'Exp Details'!T81</f>
        <v>25</v>
      </c>
      <c r="O69" s="39">
        <f>'Exp Details'!U81</f>
        <v>25</v>
      </c>
      <c r="P69" s="39">
        <f>'Exp Details'!V81</f>
        <v>25</v>
      </c>
      <c r="Q69" s="36"/>
      <c r="R69" s="41"/>
      <c r="S69" s="354">
        <f t="shared" si="34"/>
        <v>8110</v>
      </c>
      <c r="T69" s="41"/>
      <c r="U69" s="362">
        <f t="shared" si="2"/>
        <v>8010</v>
      </c>
      <c r="V69" s="41"/>
      <c r="W69" s="362">
        <v>0</v>
      </c>
      <c r="X69" s="362">
        <f t="shared" si="35"/>
        <v>8110</v>
      </c>
      <c r="Y69" s="41"/>
      <c r="Z69" s="362">
        <v>500.00000000000006</v>
      </c>
      <c r="AA69" s="362">
        <f t="shared" si="36"/>
        <v>-7610</v>
      </c>
      <c r="AB69" s="41"/>
      <c r="AC69" s="247">
        <v>0</v>
      </c>
      <c r="AD69" s="247">
        <f t="shared" si="37"/>
        <v>-8110</v>
      </c>
    </row>
    <row r="70" spans="1:30" s="37" customFormat="1" ht="12" x14ac:dyDescent="0.2">
      <c r="A70" s="38"/>
      <c r="C70" s="199">
        <v>6340</v>
      </c>
      <c r="D70" s="37" t="s">
        <v>15</v>
      </c>
      <c r="E70" s="39">
        <f>'Exp Details'!K107</f>
        <v>100</v>
      </c>
      <c r="F70" s="39">
        <f>'Exp Details'!L107</f>
        <v>6350</v>
      </c>
      <c r="G70" s="39">
        <f>'Exp Details'!M107</f>
        <v>3700</v>
      </c>
      <c r="H70" s="39">
        <f>'Exp Details'!N107</f>
        <v>26850</v>
      </c>
      <c r="I70" s="39">
        <f>'Exp Details'!O107</f>
        <v>1900</v>
      </c>
      <c r="J70" s="39">
        <f>'Exp Details'!P107</f>
        <v>100</v>
      </c>
      <c r="K70" s="39">
        <f>'Exp Details'!Q107</f>
        <v>7200</v>
      </c>
      <c r="L70" s="39">
        <f>'Exp Details'!R107</f>
        <v>2389.2399999999998</v>
      </c>
      <c r="M70" s="39">
        <f>'Exp Details'!S107</f>
        <v>100</v>
      </c>
      <c r="N70" s="39">
        <f>'Exp Details'!T107</f>
        <v>850</v>
      </c>
      <c r="O70" s="39">
        <f>'Exp Details'!U107</f>
        <v>2550</v>
      </c>
      <c r="P70" s="39">
        <f>'Exp Details'!V107</f>
        <v>10425</v>
      </c>
      <c r="Q70" s="36"/>
      <c r="R70" s="41"/>
      <c r="S70" s="354">
        <f>SUM(E70:Q70)</f>
        <v>62514.239999999998</v>
      </c>
      <c r="T70" s="41"/>
      <c r="U70" s="362">
        <f t="shared" si="2"/>
        <v>48589.24</v>
      </c>
      <c r="V70" s="41"/>
      <c r="W70" s="362">
        <v>213358.00000000003</v>
      </c>
      <c r="X70" s="362">
        <f t="shared" si="35"/>
        <v>-150843.76000000004</v>
      </c>
      <c r="Y70" s="41"/>
      <c r="Z70" s="362">
        <v>282910.00000000006</v>
      </c>
      <c r="AA70" s="362">
        <f t="shared" si="36"/>
        <v>220395.76000000007</v>
      </c>
      <c r="AB70" s="41"/>
      <c r="AC70" s="247">
        <v>0</v>
      </c>
      <c r="AD70" s="247">
        <f t="shared" si="37"/>
        <v>-62514.239999999998</v>
      </c>
    </row>
    <row r="71" spans="1:30" s="37" customFormat="1" ht="12" x14ac:dyDescent="0.2">
      <c r="A71" s="38"/>
      <c r="C71" s="199">
        <v>6345</v>
      </c>
      <c r="D71" s="37" t="s">
        <v>16</v>
      </c>
      <c r="E71" s="39">
        <f>'Exp Details'!K118</f>
        <v>1625</v>
      </c>
      <c r="F71" s="39">
        <f>'Exp Details'!L118</f>
        <v>1625</v>
      </c>
      <c r="G71" s="39">
        <f>'Exp Details'!M118</f>
        <v>4025</v>
      </c>
      <c r="H71" s="39">
        <f>'Exp Details'!N118</f>
        <v>1625</v>
      </c>
      <c r="I71" s="39">
        <f>'Exp Details'!O118</f>
        <v>1625</v>
      </c>
      <c r="J71" s="39">
        <f>'Exp Details'!P118</f>
        <v>1625</v>
      </c>
      <c r="K71" s="39">
        <f>'Exp Details'!Q118</f>
        <v>1625</v>
      </c>
      <c r="L71" s="39">
        <f>'Exp Details'!R118</f>
        <v>1625</v>
      </c>
      <c r="M71" s="39">
        <f>'Exp Details'!S118</f>
        <v>1625</v>
      </c>
      <c r="N71" s="39">
        <f>'Exp Details'!T118</f>
        <v>1625</v>
      </c>
      <c r="O71" s="39">
        <f>'Exp Details'!U118</f>
        <v>1625</v>
      </c>
      <c r="P71" s="39">
        <f>'Exp Details'!V118</f>
        <v>1625</v>
      </c>
      <c r="Q71" s="36"/>
      <c r="R71" s="41"/>
      <c r="S71" s="354">
        <f t="shared" si="34"/>
        <v>21900</v>
      </c>
      <c r="T71" s="41"/>
      <c r="U71" s="362">
        <f t="shared" ref="U71:U117" si="38">SUM(E71:L71)</f>
        <v>15400</v>
      </c>
      <c r="V71" s="41"/>
      <c r="W71" s="362">
        <v>0</v>
      </c>
      <c r="X71" s="362">
        <f t="shared" si="35"/>
        <v>21900</v>
      </c>
      <c r="Y71" s="41"/>
      <c r="Z71" s="362">
        <v>0</v>
      </c>
      <c r="AA71" s="362">
        <f t="shared" si="36"/>
        <v>-21900</v>
      </c>
      <c r="AB71" s="41"/>
      <c r="AC71" s="247">
        <v>0</v>
      </c>
      <c r="AD71" s="247">
        <f t="shared" si="37"/>
        <v>-21900</v>
      </c>
    </row>
    <row r="72" spans="1:30" s="37" customFormat="1" ht="12" x14ac:dyDescent="0.2">
      <c r="A72" s="38"/>
      <c r="C72" s="199">
        <v>6350</v>
      </c>
      <c r="D72" s="37" t="s">
        <v>17</v>
      </c>
      <c r="E72" s="39">
        <f>'Exp Details'!K125</f>
        <v>100</v>
      </c>
      <c r="F72" s="39">
        <f>'Exp Details'!L125</f>
        <v>100</v>
      </c>
      <c r="G72" s="39">
        <f>'Exp Details'!M125</f>
        <v>850</v>
      </c>
      <c r="H72" s="39">
        <f>'Exp Details'!N125</f>
        <v>1350</v>
      </c>
      <c r="I72" s="39">
        <f>'Exp Details'!O125</f>
        <v>850</v>
      </c>
      <c r="J72" s="39">
        <f>'Exp Details'!P125</f>
        <v>100</v>
      </c>
      <c r="K72" s="39">
        <f>'Exp Details'!Q125</f>
        <v>600</v>
      </c>
      <c r="L72" s="39">
        <f>'Exp Details'!R125</f>
        <v>1100</v>
      </c>
      <c r="M72" s="39">
        <f>'Exp Details'!S125</f>
        <v>600</v>
      </c>
      <c r="N72" s="39">
        <f>'Exp Details'!T125</f>
        <v>100</v>
      </c>
      <c r="O72" s="39">
        <f>'Exp Details'!U125</f>
        <v>350</v>
      </c>
      <c r="P72" s="39">
        <f>'Exp Details'!V125</f>
        <v>100</v>
      </c>
      <c r="Q72" s="36"/>
      <c r="R72" s="41"/>
      <c r="S72" s="354">
        <f t="shared" si="34"/>
        <v>6200</v>
      </c>
      <c r="T72" s="41"/>
      <c r="U72" s="362">
        <f t="shared" si="38"/>
        <v>5050</v>
      </c>
      <c r="V72" s="41"/>
      <c r="W72" s="362">
        <v>1000.0000000000001</v>
      </c>
      <c r="X72" s="362">
        <f t="shared" si="35"/>
        <v>5200</v>
      </c>
      <c r="Y72" s="41"/>
      <c r="Z72" s="362">
        <v>1000.0000000000001</v>
      </c>
      <c r="AA72" s="362">
        <f t="shared" si="36"/>
        <v>-5200</v>
      </c>
      <c r="AB72" s="41"/>
      <c r="AC72" s="247">
        <v>0</v>
      </c>
      <c r="AD72" s="247">
        <f t="shared" si="37"/>
        <v>-6200</v>
      </c>
    </row>
    <row r="73" spans="1:30" s="37" customFormat="1" ht="12" x14ac:dyDescent="0.2">
      <c r="A73" s="38"/>
      <c r="C73" s="199">
        <v>6351</v>
      </c>
      <c r="D73" s="37" t="s">
        <v>18</v>
      </c>
      <c r="E73" s="39">
        <f>'Exp Details'!K140</f>
        <v>0</v>
      </c>
      <c r="F73" s="39">
        <f>'Exp Details'!L140</f>
        <v>0</v>
      </c>
      <c r="G73" s="39">
        <f>'Exp Details'!M140</f>
        <v>0</v>
      </c>
      <c r="H73" s="39">
        <f>'Exp Details'!N140</f>
        <v>23956.76</v>
      </c>
      <c r="I73" s="39">
        <f>'Exp Details'!O140</f>
        <v>846.24</v>
      </c>
      <c r="J73" s="39">
        <f>'Exp Details'!P140</f>
        <v>0</v>
      </c>
      <c r="K73" s="39">
        <f>'Exp Details'!Q140</f>
        <v>0</v>
      </c>
      <c r="L73" s="39">
        <f>'Exp Details'!R140</f>
        <v>2916</v>
      </c>
      <c r="M73" s="39">
        <f>'Exp Details'!S140</f>
        <v>0</v>
      </c>
      <c r="N73" s="39">
        <f>'Exp Details'!T140</f>
        <v>9900</v>
      </c>
      <c r="O73" s="39">
        <f>'Exp Details'!U140</f>
        <v>0</v>
      </c>
      <c r="P73" s="39">
        <f>'Exp Details'!V140</f>
        <v>0</v>
      </c>
      <c r="Q73" s="36"/>
      <c r="R73" s="41"/>
      <c r="S73" s="354">
        <f t="shared" si="34"/>
        <v>37619</v>
      </c>
      <c r="T73" s="41"/>
      <c r="U73" s="362">
        <f t="shared" si="38"/>
        <v>27719</v>
      </c>
      <c r="V73" s="41"/>
      <c r="W73" s="362">
        <v>0</v>
      </c>
      <c r="X73" s="362">
        <f t="shared" si="35"/>
        <v>37619</v>
      </c>
      <c r="Y73" s="41"/>
      <c r="Z73" s="362">
        <v>0</v>
      </c>
      <c r="AA73" s="362">
        <f t="shared" si="36"/>
        <v>-37619</v>
      </c>
      <c r="AB73" s="41"/>
      <c r="AC73" s="247">
        <v>0</v>
      </c>
      <c r="AD73" s="247">
        <f t="shared" si="37"/>
        <v>-37619</v>
      </c>
    </row>
    <row r="74" spans="1:30" s="37" customFormat="1" ht="12" x14ac:dyDescent="0.2">
      <c r="A74" s="38"/>
      <c r="C74" s="38"/>
      <c r="E74" s="50">
        <f t="shared" ref="E74:O74" si="39">SUBTOTAL(9,E64:E73)</f>
        <v>5495</v>
      </c>
      <c r="F74" s="50">
        <f t="shared" si="39"/>
        <v>26983</v>
      </c>
      <c r="G74" s="50">
        <f t="shared" si="39"/>
        <v>32140</v>
      </c>
      <c r="H74" s="50">
        <f t="shared" si="39"/>
        <v>68991.759999999995</v>
      </c>
      <c r="I74" s="50">
        <f t="shared" si="39"/>
        <v>10481.24</v>
      </c>
      <c r="J74" s="50">
        <f t="shared" si="39"/>
        <v>7670</v>
      </c>
      <c r="K74" s="50">
        <f t="shared" si="39"/>
        <v>27045</v>
      </c>
      <c r="L74" s="50">
        <f t="shared" si="39"/>
        <v>18270.239999999998</v>
      </c>
      <c r="M74" s="50">
        <f t="shared" si="39"/>
        <v>5070</v>
      </c>
      <c r="N74" s="50">
        <f t="shared" si="39"/>
        <v>28245</v>
      </c>
      <c r="O74" s="50">
        <f t="shared" si="39"/>
        <v>7195</v>
      </c>
      <c r="P74" s="50">
        <f t="shared" ref="P74" si="40">SUBTOTAL(9,P64:P73)</f>
        <v>27070</v>
      </c>
      <c r="Q74" s="51"/>
      <c r="R74" s="41"/>
      <c r="S74" s="355">
        <f>SUBTOTAL(9,S64:S73)</f>
        <v>264656.24</v>
      </c>
      <c r="T74" s="41"/>
      <c r="U74" s="363">
        <f t="shared" si="38"/>
        <v>197076.24</v>
      </c>
      <c r="V74" s="41"/>
      <c r="W74" s="363">
        <v>217608.00000000003</v>
      </c>
      <c r="X74" s="363">
        <f>SUBTOTAL(9,X64:X73)</f>
        <v>47048.239999999962</v>
      </c>
      <c r="Y74" s="41"/>
      <c r="Z74" s="363">
        <v>290910.00000000006</v>
      </c>
      <c r="AA74" s="363">
        <f>SUBTOTAL(9,AA64:AA73)</f>
        <v>26253.760000000068</v>
      </c>
      <c r="AB74" s="41"/>
      <c r="AC74" s="249">
        <f>SUBTOTAL(9,AC64:AC73)</f>
        <v>0</v>
      </c>
      <c r="AD74" s="249">
        <f>SUBTOTAL(9,AD64:AD73)</f>
        <v>-264656.24</v>
      </c>
    </row>
    <row r="75" spans="1:30" s="37" customFormat="1" ht="12" x14ac:dyDescent="0.2">
      <c r="C75" s="49" t="s">
        <v>100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44"/>
      <c r="R75" s="41"/>
      <c r="S75" s="354"/>
      <c r="T75" s="41"/>
      <c r="U75" s="362">
        <f t="shared" si="38"/>
        <v>0</v>
      </c>
      <c r="V75" s="41"/>
      <c r="W75" s="362"/>
      <c r="X75" s="362"/>
      <c r="Y75" s="41"/>
      <c r="Z75" s="362"/>
      <c r="AA75" s="362"/>
      <c r="AB75" s="41"/>
      <c r="AC75" s="247"/>
      <c r="AD75" s="247"/>
    </row>
    <row r="76" spans="1:30" s="37" customFormat="1" ht="12" x14ac:dyDescent="0.2">
      <c r="C76" s="199">
        <v>6410</v>
      </c>
      <c r="D76" s="37" t="s">
        <v>19</v>
      </c>
      <c r="E76" s="39">
        <f>'Exp Details'!K148</f>
        <v>0</v>
      </c>
      <c r="F76" s="39">
        <f>'Exp Details'!L148</f>
        <v>0</v>
      </c>
      <c r="G76" s="39">
        <f>'Exp Details'!M148</f>
        <v>0</v>
      </c>
      <c r="H76" s="39">
        <f>'Exp Details'!N148</f>
        <v>0</v>
      </c>
      <c r="I76" s="39">
        <f>'Exp Details'!O148</f>
        <v>0</v>
      </c>
      <c r="J76" s="39">
        <f>'Exp Details'!P148</f>
        <v>0</v>
      </c>
      <c r="K76" s="39">
        <f>'Exp Details'!Q148</f>
        <v>0</v>
      </c>
      <c r="L76" s="39">
        <f>'Exp Details'!R148</f>
        <v>0</v>
      </c>
      <c r="M76" s="39">
        <f>'Exp Details'!S148</f>
        <v>0</v>
      </c>
      <c r="N76" s="39">
        <f>'Exp Details'!T148</f>
        <v>0</v>
      </c>
      <c r="O76" s="39">
        <f>'Exp Details'!U148</f>
        <v>0</v>
      </c>
      <c r="P76" s="39">
        <f>'Exp Details'!V148</f>
        <v>0</v>
      </c>
      <c r="Q76" s="36"/>
      <c r="R76" s="41"/>
      <c r="S76" s="354">
        <f t="shared" ref="S76:S79" si="41">SUM(E76:Q76)</f>
        <v>0</v>
      </c>
      <c r="T76" s="41"/>
      <c r="U76" s="362">
        <f t="shared" si="38"/>
        <v>0</v>
      </c>
      <c r="V76" s="41"/>
      <c r="W76" s="362">
        <v>0</v>
      </c>
      <c r="X76" s="362">
        <f>W76-P76</f>
        <v>0</v>
      </c>
      <c r="Y76" s="41"/>
      <c r="Z76" s="362">
        <v>0</v>
      </c>
      <c r="AA76" s="362">
        <f>Z76-S76</f>
        <v>0</v>
      </c>
      <c r="AB76" s="41"/>
      <c r="AC76" s="247">
        <v>0</v>
      </c>
      <c r="AD76" s="247">
        <f>AC76-S76</f>
        <v>0</v>
      </c>
    </row>
    <row r="77" spans="1:30" s="37" customFormat="1" ht="12" x14ac:dyDescent="0.2">
      <c r="C77" s="199">
        <v>6420</v>
      </c>
      <c r="D77" s="37" t="s">
        <v>20</v>
      </c>
      <c r="E77" s="39">
        <f>'Exp Details'!K156</f>
        <v>605</v>
      </c>
      <c r="F77" s="39">
        <f>'Exp Details'!L156</f>
        <v>400</v>
      </c>
      <c r="G77" s="39">
        <f>'Exp Details'!M156</f>
        <v>400</v>
      </c>
      <c r="H77" s="39">
        <f>'Exp Details'!N156</f>
        <v>605</v>
      </c>
      <c r="I77" s="39">
        <f>'Exp Details'!O156</f>
        <v>400</v>
      </c>
      <c r="J77" s="39">
        <f>'Exp Details'!P156</f>
        <v>400</v>
      </c>
      <c r="K77" s="39">
        <f>'Exp Details'!Q156</f>
        <v>605</v>
      </c>
      <c r="L77" s="39">
        <f>'Exp Details'!R156</f>
        <v>400</v>
      </c>
      <c r="M77" s="39">
        <f>'Exp Details'!S156</f>
        <v>400</v>
      </c>
      <c r="N77" s="39">
        <f>'Exp Details'!T156</f>
        <v>400</v>
      </c>
      <c r="O77" s="39">
        <f>'Exp Details'!U156</f>
        <v>605</v>
      </c>
      <c r="P77" s="39">
        <f>'Exp Details'!V156</f>
        <v>400</v>
      </c>
      <c r="Q77" s="36"/>
      <c r="R77" s="41"/>
      <c r="S77" s="354">
        <f t="shared" si="41"/>
        <v>5620</v>
      </c>
      <c r="T77" s="41"/>
      <c r="U77" s="362">
        <f t="shared" si="38"/>
        <v>3815</v>
      </c>
      <c r="V77" s="41"/>
      <c r="W77" s="362">
        <v>1800</v>
      </c>
      <c r="X77" s="362">
        <f t="shared" ref="X77:X79" si="42">S77-W77</f>
        <v>3820</v>
      </c>
      <c r="Y77" s="41"/>
      <c r="Z77" s="362">
        <v>1800</v>
      </c>
      <c r="AA77" s="362">
        <f>Z77-S77</f>
        <v>-3820</v>
      </c>
      <c r="AB77" s="41"/>
      <c r="AC77" s="247">
        <v>0</v>
      </c>
      <c r="AD77" s="247">
        <f>AC77-S77</f>
        <v>-5620</v>
      </c>
    </row>
    <row r="78" spans="1:30" s="37" customFormat="1" ht="12" x14ac:dyDescent="0.2">
      <c r="C78" s="199">
        <v>6430</v>
      </c>
      <c r="D78" s="37" t="s">
        <v>21</v>
      </c>
      <c r="E78" s="39">
        <f>'Exp Details'!K164</f>
        <v>0</v>
      </c>
      <c r="F78" s="39">
        <f>'Exp Details'!L164</f>
        <v>0</v>
      </c>
      <c r="G78" s="39">
        <f>'Exp Details'!M164</f>
        <v>150</v>
      </c>
      <c r="H78" s="39">
        <f>'Exp Details'!N164</f>
        <v>150</v>
      </c>
      <c r="I78" s="39">
        <f>'Exp Details'!O164</f>
        <v>0</v>
      </c>
      <c r="J78" s="39">
        <f>'Exp Details'!P164</f>
        <v>0</v>
      </c>
      <c r="K78" s="39">
        <f>'Exp Details'!Q164</f>
        <v>0</v>
      </c>
      <c r="L78" s="39">
        <f>'Exp Details'!R164</f>
        <v>0</v>
      </c>
      <c r="M78" s="39">
        <f>'Exp Details'!S164</f>
        <v>150</v>
      </c>
      <c r="N78" s="39">
        <f>'Exp Details'!T164</f>
        <v>150</v>
      </c>
      <c r="O78" s="39">
        <f>'Exp Details'!U164</f>
        <v>0</v>
      </c>
      <c r="P78" s="39">
        <f>'Exp Details'!V164</f>
        <v>0</v>
      </c>
      <c r="Q78" s="36"/>
      <c r="R78" s="41"/>
      <c r="S78" s="354">
        <f t="shared" si="41"/>
        <v>600</v>
      </c>
      <c r="T78" s="41"/>
      <c r="U78" s="362">
        <f t="shared" si="38"/>
        <v>300</v>
      </c>
      <c r="V78" s="41"/>
      <c r="W78" s="362">
        <v>700.00000000000011</v>
      </c>
      <c r="X78" s="362">
        <f t="shared" si="42"/>
        <v>-100.00000000000011</v>
      </c>
      <c r="Y78" s="41"/>
      <c r="Z78" s="362">
        <v>700.00000000000011</v>
      </c>
      <c r="AA78" s="362">
        <f>Z78-S78</f>
        <v>100.00000000000011</v>
      </c>
      <c r="AB78" s="41"/>
      <c r="AC78" s="247">
        <v>0</v>
      </c>
      <c r="AD78" s="247">
        <f>AC78-S78</f>
        <v>-600</v>
      </c>
    </row>
    <row r="79" spans="1:30" s="37" customFormat="1" ht="12" x14ac:dyDescent="0.2">
      <c r="C79" s="199">
        <v>6441</v>
      </c>
      <c r="D79" s="37" t="s">
        <v>22</v>
      </c>
      <c r="E79" s="39">
        <f>'Exp Details'!K179</f>
        <v>5213</v>
      </c>
      <c r="F79" s="39">
        <f>'Exp Details'!L179</f>
        <v>22913</v>
      </c>
      <c r="G79" s="39">
        <f>'Exp Details'!M179</f>
        <v>7963</v>
      </c>
      <c r="H79" s="39">
        <f>'Exp Details'!N179</f>
        <v>7963</v>
      </c>
      <c r="I79" s="39">
        <f>'Exp Details'!O179</f>
        <v>7963</v>
      </c>
      <c r="J79" s="39">
        <f>'Exp Details'!P179</f>
        <v>5213</v>
      </c>
      <c r="K79" s="39">
        <f>'Exp Details'!Q179</f>
        <v>9213</v>
      </c>
      <c r="L79" s="39">
        <f>'Exp Details'!R179</f>
        <v>7963</v>
      </c>
      <c r="M79" s="39">
        <f>'Exp Details'!S179</f>
        <v>7963</v>
      </c>
      <c r="N79" s="39">
        <f>'Exp Details'!T179</f>
        <v>10963</v>
      </c>
      <c r="O79" s="39">
        <f>'Exp Details'!U179</f>
        <v>5213</v>
      </c>
      <c r="P79" s="39">
        <f>'Exp Details'!V179</f>
        <v>5213</v>
      </c>
      <c r="Q79" s="36"/>
      <c r="R79" s="41"/>
      <c r="S79" s="354">
        <f t="shared" si="41"/>
        <v>103756</v>
      </c>
      <c r="T79" s="41"/>
      <c r="U79" s="362">
        <f t="shared" si="38"/>
        <v>74404</v>
      </c>
      <c r="V79" s="41"/>
      <c r="W79" s="362">
        <v>29420.000000000004</v>
      </c>
      <c r="X79" s="362">
        <f t="shared" si="42"/>
        <v>74336</v>
      </c>
      <c r="Y79" s="41"/>
      <c r="Z79" s="362">
        <v>29420.000000000004</v>
      </c>
      <c r="AA79" s="362">
        <f>Z79-S79</f>
        <v>-74336</v>
      </c>
      <c r="AB79" s="41"/>
      <c r="AC79" s="247">
        <v>0</v>
      </c>
      <c r="AD79" s="247">
        <f>AC79-S79</f>
        <v>-103756</v>
      </c>
    </row>
    <row r="80" spans="1:30" s="37" customFormat="1" ht="12" x14ac:dyDescent="0.2">
      <c r="C80" s="38"/>
      <c r="E80" s="50">
        <f t="shared" ref="E80:O80" si="43">SUBTOTAL(9,E76:E79)</f>
        <v>5818</v>
      </c>
      <c r="F80" s="50">
        <f t="shared" si="43"/>
        <v>23313</v>
      </c>
      <c r="G80" s="50">
        <f t="shared" si="43"/>
        <v>8513</v>
      </c>
      <c r="H80" s="50">
        <f t="shared" si="43"/>
        <v>8718</v>
      </c>
      <c r="I80" s="50">
        <f t="shared" si="43"/>
        <v>8363</v>
      </c>
      <c r="J80" s="50">
        <f t="shared" si="43"/>
        <v>5613</v>
      </c>
      <c r="K80" s="50">
        <f t="shared" si="43"/>
        <v>9818</v>
      </c>
      <c r="L80" s="50">
        <f t="shared" si="43"/>
        <v>8363</v>
      </c>
      <c r="M80" s="50">
        <f t="shared" si="43"/>
        <v>8513</v>
      </c>
      <c r="N80" s="50">
        <f t="shared" si="43"/>
        <v>11513</v>
      </c>
      <c r="O80" s="50">
        <f t="shared" si="43"/>
        <v>5818</v>
      </c>
      <c r="P80" s="50">
        <f t="shared" ref="P80" si="44">SUBTOTAL(9,P76:P79)</f>
        <v>5613</v>
      </c>
      <c r="Q80" s="51"/>
      <c r="R80" s="41"/>
      <c r="S80" s="355">
        <f t="shared" ref="S80:AA80" si="45">SUBTOTAL(9,S76:S79)</f>
        <v>109976</v>
      </c>
      <c r="T80" s="41"/>
      <c r="U80" s="363">
        <f t="shared" si="38"/>
        <v>78519</v>
      </c>
      <c r="V80" s="41"/>
      <c r="W80" s="363">
        <v>31920.000000000004</v>
      </c>
      <c r="X80" s="363">
        <f t="shared" ref="X80" si="46">SUBTOTAL(9,X76:X79)</f>
        <v>78056</v>
      </c>
      <c r="Y80" s="41"/>
      <c r="Z80" s="363">
        <v>31920.000000000004</v>
      </c>
      <c r="AA80" s="363">
        <f t="shared" si="45"/>
        <v>-78056</v>
      </c>
      <c r="AB80" s="41"/>
      <c r="AC80" s="249">
        <f t="shared" ref="AC80:AD80" si="47">SUBTOTAL(9,AC76:AC79)</f>
        <v>0</v>
      </c>
      <c r="AD80" s="249">
        <f t="shared" si="47"/>
        <v>-109976</v>
      </c>
    </row>
    <row r="81" spans="3:30" s="37" customFormat="1" ht="12" x14ac:dyDescent="0.2">
      <c r="C81" s="49" t="s">
        <v>101</v>
      </c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44"/>
      <c r="R81" s="41"/>
      <c r="S81" s="354"/>
      <c r="T81" s="41"/>
      <c r="U81" s="362">
        <f t="shared" si="38"/>
        <v>0</v>
      </c>
      <c r="V81" s="41"/>
      <c r="W81" s="362"/>
      <c r="X81" s="362"/>
      <c r="Y81" s="41"/>
      <c r="Z81" s="362"/>
      <c r="AA81" s="362"/>
      <c r="AB81" s="41"/>
      <c r="AC81" s="247"/>
      <c r="AD81" s="247"/>
    </row>
    <row r="82" spans="3:30" s="37" customFormat="1" ht="12" x14ac:dyDescent="0.2">
      <c r="C82" s="199">
        <v>6519</v>
      </c>
      <c r="D82" s="37" t="s">
        <v>234</v>
      </c>
      <c r="E82" s="39">
        <f>'Exp Details'!K187</f>
        <v>0</v>
      </c>
      <c r="F82" s="39">
        <f>'Exp Details'!L187</f>
        <v>0</v>
      </c>
      <c r="G82" s="39">
        <f>'Exp Details'!M187</f>
        <v>0</v>
      </c>
      <c r="H82" s="39">
        <f>'Exp Details'!N187</f>
        <v>0</v>
      </c>
      <c r="I82" s="39">
        <f>'Exp Details'!O187</f>
        <v>0</v>
      </c>
      <c r="J82" s="39">
        <f>'Exp Details'!P187</f>
        <v>0</v>
      </c>
      <c r="K82" s="39">
        <f>'Exp Details'!Q187</f>
        <v>0</v>
      </c>
      <c r="L82" s="39">
        <f>'Exp Details'!R187</f>
        <v>0</v>
      </c>
      <c r="M82" s="39">
        <f>'Exp Details'!S187</f>
        <v>0</v>
      </c>
      <c r="N82" s="39">
        <f>'Exp Details'!T187</f>
        <v>0</v>
      </c>
      <c r="O82" s="39">
        <f>'Exp Details'!U187</f>
        <v>0</v>
      </c>
      <c r="P82" s="39">
        <f>'Exp Details'!V187</f>
        <v>0</v>
      </c>
      <c r="Q82" s="36"/>
      <c r="R82" s="41"/>
      <c r="S82" s="354">
        <f t="shared" ref="S82:S88" si="48">SUM(E82:Q82)</f>
        <v>0</v>
      </c>
      <c r="T82" s="41"/>
      <c r="U82" s="362">
        <f t="shared" si="38"/>
        <v>0</v>
      </c>
      <c r="V82" s="41"/>
      <c r="W82" s="362">
        <v>2100</v>
      </c>
      <c r="X82" s="362">
        <f t="shared" ref="X82:X93" si="49">S82-W82</f>
        <v>-2100</v>
      </c>
      <c r="Y82" s="41"/>
      <c r="Z82" s="362">
        <v>2100</v>
      </c>
      <c r="AA82" s="362">
        <f t="shared" ref="AA82:AA93" si="50">Z82-S82</f>
        <v>2100</v>
      </c>
      <c r="AB82" s="41"/>
      <c r="AC82" s="247">
        <v>0</v>
      </c>
      <c r="AD82" s="247">
        <f t="shared" ref="AD82:AD93" si="51">AC82-S82</f>
        <v>0</v>
      </c>
    </row>
    <row r="83" spans="3:30" s="37" customFormat="1" ht="12" x14ac:dyDescent="0.2">
      <c r="C83" s="199">
        <v>6521</v>
      </c>
      <c r="D83" s="37" t="s">
        <v>24</v>
      </c>
      <c r="E83" s="39">
        <f>'Exp Details'!K193</f>
        <v>148.33333333333334</v>
      </c>
      <c r="F83" s="39">
        <f>'Exp Details'!L193</f>
        <v>148.33333333333334</v>
      </c>
      <c r="G83" s="39">
        <f>'Exp Details'!M193</f>
        <v>148.33333333333334</v>
      </c>
      <c r="H83" s="39">
        <f>'Exp Details'!N193</f>
        <v>148.33333333333334</v>
      </c>
      <c r="I83" s="39">
        <f>'Exp Details'!O193</f>
        <v>148.33333333333334</v>
      </c>
      <c r="J83" s="39">
        <f>'Exp Details'!P193</f>
        <v>148.33333333333334</v>
      </c>
      <c r="K83" s="39">
        <f>'Exp Details'!Q193</f>
        <v>148.33333333333334</v>
      </c>
      <c r="L83" s="39">
        <f>'Exp Details'!R193</f>
        <v>148.33333333333334</v>
      </c>
      <c r="M83" s="39">
        <f>'Exp Details'!S193</f>
        <v>148.33333333333334</v>
      </c>
      <c r="N83" s="39">
        <f>'Exp Details'!T193</f>
        <v>148.33333333333334</v>
      </c>
      <c r="O83" s="39">
        <f>'Exp Details'!U193</f>
        <v>148.33333333333334</v>
      </c>
      <c r="P83" s="39">
        <f>'Exp Details'!V193</f>
        <v>148.33333333333334</v>
      </c>
      <c r="Q83" s="36"/>
      <c r="R83" s="41"/>
      <c r="S83" s="354">
        <f>SUM(E83:Q83)</f>
        <v>1779.9999999999998</v>
      </c>
      <c r="T83" s="41"/>
      <c r="U83" s="362">
        <f t="shared" si="38"/>
        <v>1186.6666666666667</v>
      </c>
      <c r="V83" s="41"/>
      <c r="W83" s="362">
        <v>0</v>
      </c>
      <c r="X83" s="362">
        <f t="shared" si="49"/>
        <v>1779.9999999999998</v>
      </c>
      <c r="Y83" s="41"/>
      <c r="Z83" s="362">
        <v>0</v>
      </c>
      <c r="AA83" s="362">
        <f t="shared" si="50"/>
        <v>-1779.9999999999998</v>
      </c>
      <c r="AB83" s="41"/>
      <c r="AC83" s="247">
        <v>0</v>
      </c>
      <c r="AD83" s="247">
        <f t="shared" si="51"/>
        <v>-1779.9999999999998</v>
      </c>
    </row>
    <row r="84" spans="3:30" s="37" customFormat="1" ht="12" x14ac:dyDescent="0.2">
      <c r="C84" s="199">
        <v>6522</v>
      </c>
      <c r="D84" s="37" t="s">
        <v>25</v>
      </c>
      <c r="E84" s="39">
        <f>'Exp Details'!K199</f>
        <v>2513.916666666667</v>
      </c>
      <c r="F84" s="39">
        <f>'Exp Details'!L199</f>
        <v>2513.916666666667</v>
      </c>
      <c r="G84" s="39">
        <f>'Exp Details'!M199</f>
        <v>2513.916666666667</v>
      </c>
      <c r="H84" s="39">
        <f>'Exp Details'!N199</f>
        <v>2513.916666666667</v>
      </c>
      <c r="I84" s="39">
        <f>'Exp Details'!O199</f>
        <v>2513.916666666667</v>
      </c>
      <c r="J84" s="39">
        <f>'Exp Details'!P199</f>
        <v>2513.916666666667</v>
      </c>
      <c r="K84" s="39">
        <f>'Exp Details'!Q199</f>
        <v>2513.916666666667</v>
      </c>
      <c r="L84" s="39">
        <f>'Exp Details'!R199</f>
        <v>2513.916666666667</v>
      </c>
      <c r="M84" s="39">
        <f>'Exp Details'!S199</f>
        <v>2513.916666666667</v>
      </c>
      <c r="N84" s="39">
        <f>'Exp Details'!T199</f>
        <v>2513.916666666667</v>
      </c>
      <c r="O84" s="39">
        <f>'Exp Details'!U199</f>
        <v>2513.916666666667</v>
      </c>
      <c r="P84" s="39">
        <f>'Exp Details'!V199</f>
        <v>2513.916666666667</v>
      </c>
      <c r="Q84" s="36"/>
      <c r="R84" s="41"/>
      <c r="S84" s="354">
        <f t="shared" si="48"/>
        <v>30167.000000000011</v>
      </c>
      <c r="T84" s="41"/>
      <c r="U84" s="362">
        <f t="shared" si="38"/>
        <v>20111.333333333339</v>
      </c>
      <c r="V84" s="41"/>
      <c r="W84" s="362">
        <v>0</v>
      </c>
      <c r="X84" s="362">
        <f t="shared" si="49"/>
        <v>30167.000000000011</v>
      </c>
      <c r="Y84" s="41"/>
      <c r="Z84" s="362">
        <v>0</v>
      </c>
      <c r="AA84" s="362">
        <f t="shared" si="50"/>
        <v>-30167.000000000011</v>
      </c>
      <c r="AB84" s="41"/>
      <c r="AC84" s="247">
        <v>0</v>
      </c>
      <c r="AD84" s="247">
        <f t="shared" si="51"/>
        <v>-30167.000000000011</v>
      </c>
    </row>
    <row r="85" spans="3:30" s="37" customFormat="1" ht="12" x14ac:dyDescent="0.2">
      <c r="C85" s="199">
        <v>6523</v>
      </c>
      <c r="D85" s="37" t="s">
        <v>26</v>
      </c>
      <c r="E85" s="39">
        <f>'Exp Details'!K205</f>
        <v>1199.6666666666665</v>
      </c>
      <c r="F85" s="39">
        <f>'Exp Details'!L205</f>
        <v>1199.6666666666665</v>
      </c>
      <c r="G85" s="39">
        <f>'Exp Details'!M205</f>
        <v>1199.6666666666665</v>
      </c>
      <c r="H85" s="39">
        <f>'Exp Details'!N205</f>
        <v>1199.6666666666665</v>
      </c>
      <c r="I85" s="39">
        <f>'Exp Details'!O205</f>
        <v>1199.6666666666665</v>
      </c>
      <c r="J85" s="39">
        <f>'Exp Details'!P205</f>
        <v>1199.6666666666665</v>
      </c>
      <c r="K85" s="39">
        <f>'Exp Details'!Q205</f>
        <v>1199.6666666666665</v>
      </c>
      <c r="L85" s="39">
        <f>'Exp Details'!R205</f>
        <v>1199.6666666666665</v>
      </c>
      <c r="M85" s="39">
        <f>'Exp Details'!S205</f>
        <v>1199.6666666666665</v>
      </c>
      <c r="N85" s="39">
        <f>'Exp Details'!T205</f>
        <v>1199.6666666666665</v>
      </c>
      <c r="O85" s="39">
        <f>'Exp Details'!U205</f>
        <v>1199.6666666666665</v>
      </c>
      <c r="P85" s="39">
        <f>'Exp Details'!V205</f>
        <v>1199.6666666666665</v>
      </c>
      <c r="Q85" s="36"/>
      <c r="R85" s="41"/>
      <c r="S85" s="354">
        <f t="shared" si="48"/>
        <v>14395.999999999995</v>
      </c>
      <c r="T85" s="41"/>
      <c r="U85" s="362">
        <f t="shared" si="38"/>
        <v>9597.3333333333303</v>
      </c>
      <c r="V85" s="41"/>
      <c r="W85" s="362">
        <v>0</v>
      </c>
      <c r="X85" s="362">
        <f t="shared" si="49"/>
        <v>14395.999999999995</v>
      </c>
      <c r="Y85" s="41"/>
      <c r="Z85" s="362">
        <v>0</v>
      </c>
      <c r="AA85" s="362">
        <f t="shared" si="50"/>
        <v>-14395.999999999995</v>
      </c>
      <c r="AB85" s="41"/>
      <c r="AC85" s="247">
        <v>0</v>
      </c>
      <c r="AD85" s="247">
        <f t="shared" si="51"/>
        <v>-14395.999999999995</v>
      </c>
    </row>
    <row r="86" spans="3:30" s="37" customFormat="1" ht="12" x14ac:dyDescent="0.2">
      <c r="C86" s="199">
        <v>6531</v>
      </c>
      <c r="D86" s="37" t="s">
        <v>27</v>
      </c>
      <c r="E86" s="39">
        <f>'Exp Details'!K213</f>
        <v>137</v>
      </c>
      <c r="F86" s="39">
        <f>'Exp Details'!L213</f>
        <v>137</v>
      </c>
      <c r="G86" s="39">
        <f>'Exp Details'!M213</f>
        <v>137</v>
      </c>
      <c r="H86" s="39">
        <f>'Exp Details'!N213</f>
        <v>137</v>
      </c>
      <c r="I86" s="39">
        <f>'Exp Details'!O213</f>
        <v>137</v>
      </c>
      <c r="J86" s="39">
        <f>'Exp Details'!P213</f>
        <v>137</v>
      </c>
      <c r="K86" s="39">
        <f>'Exp Details'!Q213</f>
        <v>137</v>
      </c>
      <c r="L86" s="39">
        <f>'Exp Details'!R213</f>
        <v>137</v>
      </c>
      <c r="M86" s="39">
        <f>'Exp Details'!S213</f>
        <v>137</v>
      </c>
      <c r="N86" s="39">
        <f>'Exp Details'!T213</f>
        <v>137</v>
      </c>
      <c r="O86" s="39">
        <f>'Exp Details'!U213</f>
        <v>137</v>
      </c>
      <c r="P86" s="39">
        <f>'Exp Details'!V213</f>
        <v>4017</v>
      </c>
      <c r="Q86" s="36"/>
      <c r="R86" s="41"/>
      <c r="S86" s="354">
        <f t="shared" si="48"/>
        <v>5524</v>
      </c>
      <c r="T86" s="41"/>
      <c r="U86" s="362">
        <f t="shared" si="38"/>
        <v>1096</v>
      </c>
      <c r="V86" s="41"/>
      <c r="W86" s="362">
        <v>0</v>
      </c>
      <c r="X86" s="362">
        <f t="shared" si="49"/>
        <v>5524</v>
      </c>
      <c r="Y86" s="41"/>
      <c r="Z86" s="362">
        <v>0</v>
      </c>
      <c r="AA86" s="362">
        <f t="shared" si="50"/>
        <v>-5524</v>
      </c>
      <c r="AB86" s="41"/>
      <c r="AC86" s="247">
        <v>0</v>
      </c>
      <c r="AD86" s="247">
        <f t="shared" si="51"/>
        <v>-5524</v>
      </c>
    </row>
    <row r="87" spans="3:30" s="37" customFormat="1" ht="12" x14ac:dyDescent="0.2">
      <c r="C87" s="199">
        <v>6534</v>
      </c>
      <c r="D87" s="37" t="s">
        <v>28</v>
      </c>
      <c r="E87" s="39">
        <f>'Exp Details'!K219</f>
        <v>270</v>
      </c>
      <c r="F87" s="39">
        <f>'Exp Details'!L219</f>
        <v>270</v>
      </c>
      <c r="G87" s="39">
        <f>'Exp Details'!M219</f>
        <v>270</v>
      </c>
      <c r="H87" s="39">
        <f>'Exp Details'!N219</f>
        <v>270</v>
      </c>
      <c r="I87" s="39">
        <f>'Exp Details'!O219</f>
        <v>270</v>
      </c>
      <c r="J87" s="39">
        <f>'Exp Details'!P219</f>
        <v>270</v>
      </c>
      <c r="K87" s="39">
        <f>'Exp Details'!Q219</f>
        <v>270</v>
      </c>
      <c r="L87" s="39">
        <f>'Exp Details'!R219</f>
        <v>270</v>
      </c>
      <c r="M87" s="39">
        <f>'Exp Details'!S219</f>
        <v>270</v>
      </c>
      <c r="N87" s="39">
        <f>'Exp Details'!T219</f>
        <v>270</v>
      </c>
      <c r="O87" s="39">
        <f>'Exp Details'!U219</f>
        <v>270</v>
      </c>
      <c r="P87" s="39">
        <f>'Exp Details'!V219</f>
        <v>270</v>
      </c>
      <c r="Q87" s="36"/>
      <c r="R87" s="41"/>
      <c r="S87" s="354">
        <f t="shared" si="48"/>
        <v>3240</v>
      </c>
      <c r="T87" s="41"/>
      <c r="U87" s="362">
        <f t="shared" si="38"/>
        <v>2160</v>
      </c>
      <c r="V87" s="41"/>
      <c r="W87" s="362">
        <v>0</v>
      </c>
      <c r="X87" s="362">
        <f t="shared" si="49"/>
        <v>3240</v>
      </c>
      <c r="Y87" s="41"/>
      <c r="Z87" s="362">
        <v>0</v>
      </c>
      <c r="AA87" s="362">
        <f t="shared" si="50"/>
        <v>-3240</v>
      </c>
      <c r="AB87" s="41"/>
      <c r="AC87" s="247">
        <v>0</v>
      </c>
      <c r="AD87" s="247">
        <f t="shared" si="51"/>
        <v>-3240</v>
      </c>
    </row>
    <row r="88" spans="3:30" s="37" customFormat="1" ht="12" x14ac:dyDescent="0.2">
      <c r="C88" s="199">
        <v>6535</v>
      </c>
      <c r="D88" s="37" t="s">
        <v>235</v>
      </c>
      <c r="E88" s="39">
        <f>'Exp Details'!K241</f>
        <v>4414.38</v>
      </c>
      <c r="F88" s="39">
        <f>'Exp Details'!L241</f>
        <v>4414.38</v>
      </c>
      <c r="G88" s="39">
        <f>'Exp Details'!M241</f>
        <v>4414.38</v>
      </c>
      <c r="H88" s="39">
        <f>'Exp Details'!N241</f>
        <v>4414.38</v>
      </c>
      <c r="I88" s="39">
        <f>'Exp Details'!O241</f>
        <v>4414.38</v>
      </c>
      <c r="J88" s="39">
        <f>'Exp Details'!P241</f>
        <v>4414.38</v>
      </c>
      <c r="K88" s="39">
        <f>'Exp Details'!Q241</f>
        <v>4414.38</v>
      </c>
      <c r="L88" s="39">
        <f>'Exp Details'!R241</f>
        <v>4414.38</v>
      </c>
      <c r="M88" s="39">
        <f>'Exp Details'!S241</f>
        <v>4414.38</v>
      </c>
      <c r="N88" s="39">
        <f>'Exp Details'!T241</f>
        <v>4414.38</v>
      </c>
      <c r="O88" s="39">
        <f>'Exp Details'!U241</f>
        <v>4414.38</v>
      </c>
      <c r="P88" s="39">
        <f>'Exp Details'!V241</f>
        <v>4414.38</v>
      </c>
      <c r="Q88" s="36"/>
      <c r="R88" s="41"/>
      <c r="S88" s="354">
        <f t="shared" si="48"/>
        <v>52972.55999999999</v>
      </c>
      <c r="T88" s="41"/>
      <c r="U88" s="362">
        <f t="shared" si="38"/>
        <v>35315.040000000001</v>
      </c>
      <c r="V88" s="41"/>
      <c r="W88" s="362">
        <v>0</v>
      </c>
      <c r="X88" s="362">
        <f t="shared" si="49"/>
        <v>52972.55999999999</v>
      </c>
      <c r="Y88" s="41"/>
      <c r="Z88" s="362">
        <v>0</v>
      </c>
      <c r="AA88" s="362">
        <f t="shared" si="50"/>
        <v>-52972.55999999999</v>
      </c>
      <c r="AB88" s="41"/>
      <c r="AC88" s="247">
        <v>0</v>
      </c>
      <c r="AD88" s="247">
        <f t="shared" si="51"/>
        <v>-52972.55999999999</v>
      </c>
    </row>
    <row r="89" spans="3:30" s="37" customFormat="1" ht="12" x14ac:dyDescent="0.2">
      <c r="C89" s="199">
        <v>6540</v>
      </c>
      <c r="D89" s="37" t="s">
        <v>30</v>
      </c>
      <c r="E89" s="39">
        <f>'Exp Details'!K261</f>
        <v>800</v>
      </c>
      <c r="F89" s="39">
        <f>'Exp Details'!L261</f>
        <v>500</v>
      </c>
      <c r="G89" s="39">
        <f>'Exp Details'!M261</f>
        <v>2158.71</v>
      </c>
      <c r="H89" s="39">
        <f>'Exp Details'!N261</f>
        <v>1250</v>
      </c>
      <c r="I89" s="39">
        <f>'Exp Details'!O261</f>
        <v>13400</v>
      </c>
      <c r="J89" s="39">
        <f>'Exp Details'!P261</f>
        <v>10050</v>
      </c>
      <c r="K89" s="39">
        <f>'Exp Details'!Q261</f>
        <v>800</v>
      </c>
      <c r="L89" s="39">
        <f>'Exp Details'!R261</f>
        <v>12200</v>
      </c>
      <c r="M89" s="39">
        <f>'Exp Details'!S261</f>
        <v>2500</v>
      </c>
      <c r="N89" s="39">
        <f>'Exp Details'!T261</f>
        <v>14150</v>
      </c>
      <c r="O89" s="39">
        <f>'Exp Details'!U261</f>
        <v>1400</v>
      </c>
      <c r="P89" s="39">
        <f>'Exp Details'!V261</f>
        <v>1250</v>
      </c>
      <c r="Q89" s="36"/>
      <c r="R89" s="41"/>
      <c r="S89" s="354">
        <f>SUM(E89:Q89)</f>
        <v>60458.71</v>
      </c>
      <c r="T89" s="41"/>
      <c r="U89" s="362">
        <f t="shared" si="38"/>
        <v>41158.71</v>
      </c>
      <c r="V89" s="41"/>
      <c r="W89" s="362">
        <v>0</v>
      </c>
      <c r="X89" s="362">
        <f t="shared" si="49"/>
        <v>60458.71</v>
      </c>
      <c r="Y89" s="41"/>
      <c r="Z89" s="362">
        <v>0</v>
      </c>
      <c r="AA89" s="362">
        <f t="shared" si="50"/>
        <v>-60458.71</v>
      </c>
      <c r="AB89" s="41"/>
      <c r="AC89" s="247">
        <v>0</v>
      </c>
      <c r="AD89" s="247">
        <f t="shared" si="51"/>
        <v>-60458.71</v>
      </c>
    </row>
    <row r="90" spans="3:30" s="37" customFormat="1" ht="12" x14ac:dyDescent="0.2">
      <c r="C90" s="199">
        <v>6550</v>
      </c>
      <c r="D90" s="37" t="s">
        <v>31</v>
      </c>
      <c r="E90" s="39">
        <f>'Exp Details'!K268</f>
        <v>0</v>
      </c>
      <c r="F90" s="39">
        <f>'Exp Details'!L268</f>
        <v>0</v>
      </c>
      <c r="G90" s="39">
        <f>'Exp Details'!M268</f>
        <v>621.72</v>
      </c>
      <c r="H90" s="39">
        <f>'Exp Details'!N268</f>
        <v>0</v>
      </c>
      <c r="I90" s="39">
        <f>'Exp Details'!O268</f>
        <v>0</v>
      </c>
      <c r="J90" s="39">
        <f>'Exp Details'!P268</f>
        <v>0</v>
      </c>
      <c r="K90" s="39">
        <f>'Exp Details'!Q268</f>
        <v>0</v>
      </c>
      <c r="L90" s="39">
        <f>'Exp Details'!R268</f>
        <v>0</v>
      </c>
      <c r="M90" s="39">
        <f>'Exp Details'!S268</f>
        <v>0</v>
      </c>
      <c r="N90" s="39">
        <f>'Exp Details'!T268</f>
        <v>0</v>
      </c>
      <c r="O90" s="39">
        <f>'Exp Details'!U268</f>
        <v>0</v>
      </c>
      <c r="P90" s="39">
        <f>'Exp Details'!V268</f>
        <v>0</v>
      </c>
      <c r="Q90" s="36"/>
      <c r="R90" s="41"/>
      <c r="S90" s="354">
        <f>SUM(E90:Q90)</f>
        <v>621.72</v>
      </c>
      <c r="T90" s="41"/>
      <c r="U90" s="362">
        <f t="shared" si="38"/>
        <v>621.72</v>
      </c>
      <c r="V90" s="41"/>
      <c r="W90" s="362">
        <v>0</v>
      </c>
      <c r="X90" s="362">
        <f t="shared" si="49"/>
        <v>621.72</v>
      </c>
      <c r="Y90" s="41"/>
      <c r="Z90" s="362">
        <v>0</v>
      </c>
      <c r="AA90" s="362">
        <f t="shared" si="50"/>
        <v>-621.72</v>
      </c>
      <c r="AB90" s="41"/>
      <c r="AC90" s="247">
        <v>0</v>
      </c>
      <c r="AD90" s="247">
        <f t="shared" si="51"/>
        <v>-621.72</v>
      </c>
    </row>
    <row r="91" spans="3:30" s="37" customFormat="1" ht="12" x14ac:dyDescent="0.2">
      <c r="C91" s="206">
        <v>6568</v>
      </c>
      <c r="D91" s="37" t="s">
        <v>186</v>
      </c>
      <c r="E91" s="39">
        <f>'Exp Details'!K275</f>
        <v>0</v>
      </c>
      <c r="F91" s="39">
        <f>'Exp Details'!L275</f>
        <v>0</v>
      </c>
      <c r="G91" s="39">
        <f>'Exp Details'!M275</f>
        <v>0</v>
      </c>
      <c r="H91" s="39">
        <f>'Exp Details'!N275</f>
        <v>0</v>
      </c>
      <c r="I91" s="39">
        <f>'Exp Details'!O275</f>
        <v>0</v>
      </c>
      <c r="J91" s="39">
        <f>'Exp Details'!P275</f>
        <v>0</v>
      </c>
      <c r="K91" s="39">
        <f>'Exp Details'!Q275</f>
        <v>0</v>
      </c>
      <c r="L91" s="39">
        <f>'Exp Details'!R275</f>
        <v>0</v>
      </c>
      <c r="M91" s="39">
        <f>'Exp Details'!S275</f>
        <v>0</v>
      </c>
      <c r="N91" s="39">
        <f>'Exp Details'!T275</f>
        <v>0</v>
      </c>
      <c r="O91" s="39">
        <f>'Exp Details'!U275</f>
        <v>0</v>
      </c>
      <c r="P91" s="39">
        <f>'Exp Details'!V275</f>
        <v>0</v>
      </c>
      <c r="Q91" s="36"/>
      <c r="R91" s="41"/>
      <c r="S91" s="354">
        <f>SUM(E91:Q91)</f>
        <v>0</v>
      </c>
      <c r="T91" s="41"/>
      <c r="U91" s="362">
        <f t="shared" si="38"/>
        <v>0</v>
      </c>
      <c r="V91" s="41"/>
      <c r="W91" s="362">
        <v>10797.299999999997</v>
      </c>
      <c r="X91" s="362">
        <f t="shared" si="49"/>
        <v>-10797.299999999997</v>
      </c>
      <c r="Y91" s="41"/>
      <c r="Z91" s="362">
        <v>23997.75</v>
      </c>
      <c r="AA91" s="362">
        <f t="shared" si="50"/>
        <v>23997.75</v>
      </c>
      <c r="AB91" s="41"/>
      <c r="AC91" s="247">
        <v>0</v>
      </c>
      <c r="AD91" s="247">
        <f t="shared" si="51"/>
        <v>0</v>
      </c>
    </row>
    <row r="92" spans="3:30" s="37" customFormat="1" ht="12" x14ac:dyDescent="0.2">
      <c r="C92" s="199">
        <v>6569</v>
      </c>
      <c r="D92" s="37" t="s">
        <v>32</v>
      </c>
      <c r="E92" s="39">
        <f>'Exp Details'!K282</f>
        <v>0</v>
      </c>
      <c r="F92" s="39">
        <f>'Exp Details'!L282</f>
        <v>0</v>
      </c>
      <c r="G92" s="39">
        <f>'Exp Details'!M282</f>
        <v>0</v>
      </c>
      <c r="H92" s="39">
        <f>'Exp Details'!N282</f>
        <v>0</v>
      </c>
      <c r="I92" s="39">
        <f>'Exp Details'!O282</f>
        <v>0</v>
      </c>
      <c r="J92" s="39">
        <f>'Exp Details'!P282</f>
        <v>0</v>
      </c>
      <c r="K92" s="39">
        <f>'Exp Details'!Q282</f>
        <v>0</v>
      </c>
      <c r="L92" s="39">
        <f>'Exp Details'!R282</f>
        <v>0</v>
      </c>
      <c r="M92" s="39">
        <f>'Exp Details'!S282</f>
        <v>0</v>
      </c>
      <c r="N92" s="39">
        <f>'Exp Details'!T282</f>
        <v>0</v>
      </c>
      <c r="O92" s="39">
        <f>'Exp Details'!U282</f>
        <v>0</v>
      </c>
      <c r="P92" s="39">
        <f>'Exp Details'!V282</f>
        <v>0</v>
      </c>
      <c r="Q92" s="36"/>
      <c r="R92" s="41"/>
      <c r="S92" s="354">
        <f>SUM(E92:Q92)</f>
        <v>0</v>
      </c>
      <c r="T92" s="41"/>
      <c r="U92" s="362">
        <f t="shared" si="38"/>
        <v>0</v>
      </c>
      <c r="V92" s="41"/>
      <c r="W92" s="362">
        <v>163620</v>
      </c>
      <c r="X92" s="362">
        <f t="shared" si="49"/>
        <v>-163620</v>
      </c>
      <c r="Y92" s="41"/>
      <c r="Z92" s="362">
        <v>230400</v>
      </c>
      <c r="AA92" s="362">
        <f t="shared" si="50"/>
        <v>230400</v>
      </c>
      <c r="AB92" s="41"/>
      <c r="AC92" s="247">
        <v>0</v>
      </c>
      <c r="AD92" s="247">
        <f t="shared" si="51"/>
        <v>0</v>
      </c>
    </row>
    <row r="93" spans="3:30" s="37" customFormat="1" ht="12" x14ac:dyDescent="0.2">
      <c r="C93" s="199">
        <v>6580</v>
      </c>
      <c r="D93" s="37" t="s">
        <v>33</v>
      </c>
      <c r="E93" s="39">
        <f>'Exp Details'!K304</f>
        <v>1200</v>
      </c>
      <c r="F93" s="39">
        <f>'Exp Details'!L304</f>
        <v>2000</v>
      </c>
      <c r="G93" s="39">
        <f>'Exp Details'!M304</f>
        <v>1200</v>
      </c>
      <c r="H93" s="39">
        <f>'Exp Details'!N304</f>
        <v>1200</v>
      </c>
      <c r="I93" s="39">
        <f>'Exp Details'!O304</f>
        <v>5700</v>
      </c>
      <c r="J93" s="39">
        <f>'Exp Details'!P304</f>
        <v>1855</v>
      </c>
      <c r="K93" s="39">
        <f>'Exp Details'!Q304</f>
        <v>400</v>
      </c>
      <c r="L93" s="39">
        <f>'Exp Details'!R304</f>
        <v>1200</v>
      </c>
      <c r="M93" s="39">
        <f>'Exp Details'!S304</f>
        <v>2000</v>
      </c>
      <c r="N93" s="39">
        <f>'Exp Details'!T304</f>
        <v>2000</v>
      </c>
      <c r="O93" s="39">
        <f>'Exp Details'!U304</f>
        <v>400</v>
      </c>
      <c r="P93" s="39">
        <f>'Exp Details'!V304</f>
        <v>400</v>
      </c>
      <c r="Q93" s="36"/>
      <c r="R93" s="41"/>
      <c r="S93" s="354">
        <f>SUM(E93:Q93)</f>
        <v>19555</v>
      </c>
      <c r="T93" s="41"/>
      <c r="U93" s="362">
        <f t="shared" si="38"/>
        <v>14755</v>
      </c>
      <c r="V93" s="41"/>
      <c r="W93" s="362">
        <v>0</v>
      </c>
      <c r="X93" s="362">
        <f t="shared" si="49"/>
        <v>19555</v>
      </c>
      <c r="Y93" s="41"/>
      <c r="Z93" s="362">
        <v>2500</v>
      </c>
      <c r="AA93" s="362">
        <f t="shared" si="50"/>
        <v>-17055</v>
      </c>
      <c r="AB93" s="41"/>
      <c r="AC93" s="247">
        <v>0</v>
      </c>
      <c r="AD93" s="247">
        <f t="shared" si="51"/>
        <v>-19555</v>
      </c>
    </row>
    <row r="94" spans="3:30" s="37" customFormat="1" ht="12" x14ac:dyDescent="0.2">
      <c r="C94" s="38"/>
      <c r="E94" s="50">
        <f t="shared" ref="E94:O94" si="52">SUBTOTAL(9,E82:E93)</f>
        <v>10683.296666666667</v>
      </c>
      <c r="F94" s="50">
        <f t="shared" si="52"/>
        <v>11183.296666666667</v>
      </c>
      <c r="G94" s="50">
        <f t="shared" si="52"/>
        <v>12663.726666666667</v>
      </c>
      <c r="H94" s="50">
        <f t="shared" si="52"/>
        <v>11133.296666666667</v>
      </c>
      <c r="I94" s="50">
        <f t="shared" si="52"/>
        <v>27783.296666666669</v>
      </c>
      <c r="J94" s="50">
        <f t="shared" si="52"/>
        <v>20588.296666666669</v>
      </c>
      <c r="K94" s="50">
        <f t="shared" si="52"/>
        <v>9883.2966666666671</v>
      </c>
      <c r="L94" s="50">
        <f t="shared" si="52"/>
        <v>22083.296666666669</v>
      </c>
      <c r="M94" s="50">
        <f t="shared" si="52"/>
        <v>13183.296666666667</v>
      </c>
      <c r="N94" s="50">
        <f t="shared" si="52"/>
        <v>24833.296666666669</v>
      </c>
      <c r="O94" s="50">
        <f t="shared" si="52"/>
        <v>10483.296666666667</v>
      </c>
      <c r="P94" s="50">
        <f t="shared" ref="P94" si="53">SUBTOTAL(9,P82:P93)</f>
        <v>14213.296666666667</v>
      </c>
      <c r="Q94" s="51"/>
      <c r="R94" s="41"/>
      <c r="S94" s="355">
        <f t="shared" ref="S94:AA94" si="54">SUBTOTAL(9,S82:S93)</f>
        <v>188714.99</v>
      </c>
      <c r="T94" s="41"/>
      <c r="U94" s="363">
        <f t="shared" si="38"/>
        <v>126001.80333333332</v>
      </c>
      <c r="V94" s="41"/>
      <c r="W94" s="363">
        <v>176517.3</v>
      </c>
      <c r="X94" s="363">
        <f t="shared" ref="X94" si="55">SUBTOTAL(9,X82:X93)</f>
        <v>12197.690000000002</v>
      </c>
      <c r="Y94" s="41"/>
      <c r="Z94" s="363">
        <v>258997.75</v>
      </c>
      <c r="AA94" s="363">
        <f t="shared" si="54"/>
        <v>70282.760000000009</v>
      </c>
      <c r="AB94" s="41"/>
      <c r="AC94" s="249">
        <f t="shared" ref="AC94:AD94" si="56">SUBTOTAL(9,AC82:AC93)</f>
        <v>0</v>
      </c>
      <c r="AD94" s="249">
        <f t="shared" si="56"/>
        <v>-188714.99</v>
      </c>
    </row>
    <row r="95" spans="3:30" s="37" customFormat="1" ht="12" x14ac:dyDescent="0.2">
      <c r="C95" s="49" t="s">
        <v>102</v>
      </c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44"/>
      <c r="R95" s="41"/>
      <c r="S95" s="354"/>
      <c r="T95" s="41"/>
      <c r="U95" s="362">
        <f t="shared" si="38"/>
        <v>0</v>
      </c>
      <c r="V95" s="41"/>
      <c r="W95" s="362"/>
      <c r="X95" s="362"/>
      <c r="Y95" s="41"/>
      <c r="Z95" s="362"/>
      <c r="AA95" s="362"/>
      <c r="AB95" s="41"/>
      <c r="AC95" s="247"/>
      <c r="AD95" s="247"/>
    </row>
    <row r="96" spans="3:30" s="37" customFormat="1" ht="12" x14ac:dyDescent="0.2">
      <c r="C96" s="199">
        <v>6610</v>
      </c>
      <c r="D96" s="37" t="s">
        <v>34</v>
      </c>
      <c r="E96" s="39">
        <f>'Exp Details'!K320</f>
        <v>950</v>
      </c>
      <c r="F96" s="39">
        <f>'Exp Details'!L320</f>
        <v>1200</v>
      </c>
      <c r="G96" s="39">
        <f>'Exp Details'!M320</f>
        <v>950</v>
      </c>
      <c r="H96" s="39">
        <f>'Exp Details'!N320</f>
        <v>1090</v>
      </c>
      <c r="I96" s="39">
        <f>'Exp Details'!O320</f>
        <v>1200</v>
      </c>
      <c r="J96" s="39">
        <f>'Exp Details'!P320</f>
        <v>1090</v>
      </c>
      <c r="K96" s="39">
        <f>'Exp Details'!Q320</f>
        <v>950</v>
      </c>
      <c r="L96" s="39">
        <f>'Exp Details'!R320</f>
        <v>1200</v>
      </c>
      <c r="M96" s="39">
        <f>'Exp Details'!S320</f>
        <v>950</v>
      </c>
      <c r="N96" s="39">
        <f>'Exp Details'!T320</f>
        <v>950</v>
      </c>
      <c r="O96" s="39">
        <f>'Exp Details'!U320</f>
        <v>1650</v>
      </c>
      <c r="P96" s="39">
        <f>'Exp Details'!V320</f>
        <v>950</v>
      </c>
      <c r="Q96" s="36"/>
      <c r="R96" s="41"/>
      <c r="S96" s="354">
        <f t="shared" ref="S96:S102" si="57">SUM(E96:Q96)</f>
        <v>13130</v>
      </c>
      <c r="T96" s="41"/>
      <c r="U96" s="362">
        <f t="shared" si="38"/>
        <v>8630</v>
      </c>
      <c r="V96" s="41"/>
      <c r="W96" s="362">
        <v>2291.8199999999997</v>
      </c>
      <c r="X96" s="362">
        <f t="shared" ref="X96:X102" si="58">S96-W96</f>
        <v>10838.18</v>
      </c>
      <c r="Y96" s="41"/>
      <c r="Z96" s="362">
        <v>2225.0000000000005</v>
      </c>
      <c r="AA96" s="362">
        <f t="shared" ref="AA96:AA102" si="59">Z96-S96</f>
        <v>-10905</v>
      </c>
      <c r="AB96" s="41"/>
      <c r="AC96" s="247">
        <v>0</v>
      </c>
      <c r="AD96" s="247">
        <f t="shared" ref="AD96:AD102" si="60">AC96-S96</f>
        <v>-13130</v>
      </c>
    </row>
    <row r="97" spans="3:30" s="37" customFormat="1" ht="12" x14ac:dyDescent="0.2">
      <c r="C97" s="199">
        <v>6612</v>
      </c>
      <c r="D97" s="37" t="s">
        <v>35</v>
      </c>
      <c r="E97" s="39">
        <f>'Exp Details'!K326</f>
        <v>0</v>
      </c>
      <c r="F97" s="39">
        <f>'Exp Details'!L326</f>
        <v>0</v>
      </c>
      <c r="G97" s="39">
        <f>'Exp Details'!M326</f>
        <v>0</v>
      </c>
      <c r="H97" s="39">
        <f>'Exp Details'!N326</f>
        <v>0</v>
      </c>
      <c r="I97" s="39">
        <f>'Exp Details'!O326</f>
        <v>1500</v>
      </c>
      <c r="J97" s="39">
        <f>'Exp Details'!P326</f>
        <v>0</v>
      </c>
      <c r="K97" s="39">
        <f>'Exp Details'!Q326</f>
        <v>0</v>
      </c>
      <c r="L97" s="39">
        <f>'Exp Details'!R326</f>
        <v>0</v>
      </c>
      <c r="M97" s="39">
        <f>'Exp Details'!S326</f>
        <v>0</v>
      </c>
      <c r="N97" s="39">
        <f>'Exp Details'!T326</f>
        <v>0</v>
      </c>
      <c r="O97" s="39">
        <f>'Exp Details'!U326</f>
        <v>0</v>
      </c>
      <c r="P97" s="39">
        <f>'Exp Details'!V326</f>
        <v>0</v>
      </c>
      <c r="Q97" s="36"/>
      <c r="R97" s="41"/>
      <c r="S97" s="354">
        <f t="shared" si="57"/>
        <v>1500</v>
      </c>
      <c r="T97" s="41"/>
      <c r="U97" s="362">
        <f t="shared" si="38"/>
        <v>1500</v>
      </c>
      <c r="V97" s="41"/>
      <c r="W97" s="362">
        <v>0</v>
      </c>
      <c r="X97" s="362">
        <f t="shared" si="58"/>
        <v>1500</v>
      </c>
      <c r="Y97" s="41"/>
      <c r="Z97" s="362">
        <v>0</v>
      </c>
      <c r="AA97" s="362">
        <f t="shared" si="59"/>
        <v>-1500</v>
      </c>
      <c r="AB97" s="41"/>
      <c r="AC97" s="247">
        <v>0</v>
      </c>
      <c r="AD97" s="247">
        <f t="shared" si="60"/>
        <v>-1500</v>
      </c>
    </row>
    <row r="98" spans="3:30" s="37" customFormat="1" ht="12" x14ac:dyDescent="0.2">
      <c r="C98" s="199">
        <v>6622</v>
      </c>
      <c r="D98" s="37" t="s">
        <v>36</v>
      </c>
      <c r="E98" s="39">
        <f>'Exp Details'!K332</f>
        <v>0</v>
      </c>
      <c r="F98" s="39">
        <f>'Exp Details'!L332</f>
        <v>0</v>
      </c>
      <c r="G98" s="39">
        <f>'Exp Details'!M332</f>
        <v>0</v>
      </c>
      <c r="H98" s="39">
        <f>'Exp Details'!N332</f>
        <v>0</v>
      </c>
      <c r="I98" s="39">
        <f>'Exp Details'!O332</f>
        <v>0</v>
      </c>
      <c r="J98" s="39">
        <f>'Exp Details'!P332</f>
        <v>0</v>
      </c>
      <c r="K98" s="39">
        <f>'Exp Details'!Q332</f>
        <v>0</v>
      </c>
      <c r="L98" s="39">
        <f>'Exp Details'!R332</f>
        <v>0</v>
      </c>
      <c r="M98" s="39">
        <f>'Exp Details'!S332</f>
        <v>0</v>
      </c>
      <c r="N98" s="39">
        <f>'Exp Details'!T332</f>
        <v>0</v>
      </c>
      <c r="O98" s="39">
        <f>'Exp Details'!U332</f>
        <v>0</v>
      </c>
      <c r="P98" s="39">
        <f>'Exp Details'!V332</f>
        <v>0</v>
      </c>
      <c r="Q98" s="36"/>
      <c r="R98" s="41"/>
      <c r="S98" s="354">
        <f t="shared" si="57"/>
        <v>0</v>
      </c>
      <c r="T98" s="41"/>
      <c r="U98" s="362">
        <f t="shared" si="38"/>
        <v>0</v>
      </c>
      <c r="V98" s="41"/>
      <c r="W98" s="362">
        <v>1200</v>
      </c>
      <c r="X98" s="362">
        <f t="shared" si="58"/>
        <v>-1200</v>
      </c>
      <c r="Y98" s="41"/>
      <c r="Z98" s="362">
        <v>1200</v>
      </c>
      <c r="AA98" s="362">
        <f t="shared" si="59"/>
        <v>1200</v>
      </c>
      <c r="AB98" s="41"/>
      <c r="AC98" s="247">
        <v>0</v>
      </c>
      <c r="AD98" s="247">
        <f t="shared" si="60"/>
        <v>0</v>
      </c>
    </row>
    <row r="99" spans="3:30" s="37" customFormat="1" ht="12" x14ac:dyDescent="0.2">
      <c r="C99" s="199">
        <v>6641</v>
      </c>
      <c r="D99" s="37" t="s">
        <v>37</v>
      </c>
      <c r="E99" s="39">
        <f>'Exp Details'!K339</f>
        <v>0</v>
      </c>
      <c r="F99" s="39">
        <f>'Exp Details'!L339</f>
        <v>0</v>
      </c>
      <c r="G99" s="39">
        <f>'Exp Details'!M339</f>
        <v>0</v>
      </c>
      <c r="H99" s="39">
        <f>'Exp Details'!N339</f>
        <v>0</v>
      </c>
      <c r="I99" s="39">
        <f>'Exp Details'!O339</f>
        <v>0</v>
      </c>
      <c r="J99" s="39">
        <f>'Exp Details'!P339</f>
        <v>0</v>
      </c>
      <c r="K99" s="39">
        <f>'Exp Details'!Q339</f>
        <v>0</v>
      </c>
      <c r="L99" s="39">
        <f>'Exp Details'!R339</f>
        <v>0</v>
      </c>
      <c r="M99" s="39">
        <f>'Exp Details'!S339</f>
        <v>0</v>
      </c>
      <c r="N99" s="39">
        <f>'Exp Details'!T339</f>
        <v>0</v>
      </c>
      <c r="O99" s="39">
        <f>'Exp Details'!U339</f>
        <v>0</v>
      </c>
      <c r="P99" s="39">
        <f>'Exp Details'!V339</f>
        <v>0</v>
      </c>
      <c r="Q99" s="36"/>
      <c r="R99" s="41"/>
      <c r="S99" s="354">
        <f t="shared" si="57"/>
        <v>0</v>
      </c>
      <c r="T99" s="41"/>
      <c r="U99" s="362">
        <f t="shared" si="38"/>
        <v>0</v>
      </c>
      <c r="V99" s="41"/>
      <c r="W99" s="362">
        <v>12220.000000000002</v>
      </c>
      <c r="X99" s="362">
        <f t="shared" si="58"/>
        <v>-12220.000000000002</v>
      </c>
      <c r="Y99" s="41"/>
      <c r="Z99" s="362">
        <v>23900.000000000004</v>
      </c>
      <c r="AA99" s="362">
        <f t="shared" si="59"/>
        <v>23900.000000000004</v>
      </c>
      <c r="AB99" s="41"/>
      <c r="AC99" s="247">
        <v>0</v>
      </c>
      <c r="AD99" s="247">
        <f t="shared" si="60"/>
        <v>0</v>
      </c>
    </row>
    <row r="100" spans="3:30" s="37" customFormat="1" ht="12" x14ac:dyDescent="0.2">
      <c r="C100" s="199">
        <v>6642</v>
      </c>
      <c r="D100" s="37" t="s">
        <v>38</v>
      </c>
      <c r="E100" s="39">
        <f>'Exp Details'!K346</f>
        <v>0</v>
      </c>
      <c r="F100" s="39">
        <f>'Exp Details'!L346</f>
        <v>0</v>
      </c>
      <c r="G100" s="39">
        <f>'Exp Details'!M346</f>
        <v>0</v>
      </c>
      <c r="H100" s="39">
        <f>'Exp Details'!N346</f>
        <v>0</v>
      </c>
      <c r="I100" s="39">
        <f>'Exp Details'!O346</f>
        <v>0</v>
      </c>
      <c r="J100" s="39">
        <f>'Exp Details'!P346</f>
        <v>0</v>
      </c>
      <c r="K100" s="39">
        <f>'Exp Details'!Q346</f>
        <v>0</v>
      </c>
      <c r="L100" s="39">
        <f>'Exp Details'!R346</f>
        <v>0</v>
      </c>
      <c r="M100" s="39">
        <f>'Exp Details'!S346</f>
        <v>0</v>
      </c>
      <c r="N100" s="39">
        <f>'Exp Details'!T346</f>
        <v>0</v>
      </c>
      <c r="O100" s="39">
        <f>'Exp Details'!U346</f>
        <v>0</v>
      </c>
      <c r="P100" s="39">
        <f>'Exp Details'!V346</f>
        <v>0</v>
      </c>
      <c r="Q100" s="36"/>
      <c r="R100" s="41"/>
      <c r="S100" s="354">
        <f t="shared" si="57"/>
        <v>0</v>
      </c>
      <c r="T100" s="41"/>
      <c r="U100" s="362">
        <f t="shared" si="38"/>
        <v>0</v>
      </c>
      <c r="V100" s="41"/>
      <c r="W100" s="362">
        <v>7022.7000000000016</v>
      </c>
      <c r="X100" s="362">
        <f t="shared" si="58"/>
        <v>-7022.7000000000016</v>
      </c>
      <c r="Y100" s="41"/>
      <c r="Z100" s="362">
        <v>4202.25</v>
      </c>
      <c r="AA100" s="362">
        <f t="shared" si="59"/>
        <v>4202.25</v>
      </c>
      <c r="AB100" s="41"/>
      <c r="AC100" s="247">
        <v>0</v>
      </c>
      <c r="AD100" s="247">
        <f t="shared" si="60"/>
        <v>0</v>
      </c>
    </row>
    <row r="101" spans="3:30" s="37" customFormat="1" ht="12" x14ac:dyDescent="0.2">
      <c r="C101" s="199">
        <v>6651</v>
      </c>
      <c r="D101" s="37" t="s">
        <v>39</v>
      </c>
      <c r="E101" s="39">
        <f>'Exp Details'!K372</f>
        <v>345</v>
      </c>
      <c r="F101" s="39">
        <f>'Exp Details'!L372</f>
        <v>7775</v>
      </c>
      <c r="G101" s="39">
        <f>'Exp Details'!M372</f>
        <v>3629</v>
      </c>
      <c r="H101" s="39">
        <f>'Exp Details'!N372</f>
        <v>345</v>
      </c>
      <c r="I101" s="39">
        <f>'Exp Details'!O372</f>
        <v>3670</v>
      </c>
      <c r="J101" s="39">
        <f>'Exp Details'!P372</f>
        <v>345</v>
      </c>
      <c r="K101" s="39">
        <f>'Exp Details'!Q372</f>
        <v>22465</v>
      </c>
      <c r="L101" s="39">
        <f>'Exp Details'!R372</f>
        <v>799</v>
      </c>
      <c r="M101" s="39">
        <f>'Exp Details'!S372</f>
        <v>345</v>
      </c>
      <c r="N101" s="39">
        <f>'Exp Details'!T372</f>
        <v>345</v>
      </c>
      <c r="O101" s="39">
        <f>'Exp Details'!U372</f>
        <v>345</v>
      </c>
      <c r="P101" s="39">
        <f>'Exp Details'!V372</f>
        <v>4695</v>
      </c>
      <c r="Q101" s="36"/>
      <c r="R101" s="41"/>
      <c r="S101" s="354">
        <f t="shared" si="57"/>
        <v>45103</v>
      </c>
      <c r="T101" s="41"/>
      <c r="U101" s="362">
        <f t="shared" si="38"/>
        <v>39373</v>
      </c>
      <c r="V101" s="41"/>
      <c r="W101" s="362">
        <v>0</v>
      </c>
      <c r="X101" s="362">
        <f t="shared" si="58"/>
        <v>45103</v>
      </c>
      <c r="Y101" s="41"/>
      <c r="Z101" s="362">
        <v>0</v>
      </c>
      <c r="AA101" s="362">
        <f t="shared" si="59"/>
        <v>-45103</v>
      </c>
      <c r="AB101" s="41"/>
      <c r="AC101" s="247">
        <v>0</v>
      </c>
      <c r="AD101" s="247">
        <f t="shared" si="60"/>
        <v>-45103</v>
      </c>
    </row>
    <row r="102" spans="3:30" s="37" customFormat="1" ht="12" x14ac:dyDescent="0.2">
      <c r="C102" s="199">
        <v>6652</v>
      </c>
      <c r="D102" s="37" t="s">
        <v>40</v>
      </c>
      <c r="E102" s="39">
        <f>'Exp Details'!K380</f>
        <v>0</v>
      </c>
      <c r="F102" s="39">
        <f>'Exp Details'!L380</f>
        <v>0</v>
      </c>
      <c r="G102" s="39">
        <f>'Exp Details'!M380</f>
        <v>0</v>
      </c>
      <c r="H102" s="39">
        <f>'Exp Details'!N380</f>
        <v>0</v>
      </c>
      <c r="I102" s="39">
        <f>'Exp Details'!O380</f>
        <v>0</v>
      </c>
      <c r="J102" s="39">
        <f>'Exp Details'!P380</f>
        <v>0</v>
      </c>
      <c r="K102" s="39">
        <f>'Exp Details'!Q380</f>
        <v>0</v>
      </c>
      <c r="L102" s="39">
        <f>'Exp Details'!R380</f>
        <v>0</v>
      </c>
      <c r="M102" s="39">
        <f>'Exp Details'!S380</f>
        <v>0</v>
      </c>
      <c r="N102" s="39">
        <f>'Exp Details'!T380</f>
        <v>0</v>
      </c>
      <c r="O102" s="39">
        <f>'Exp Details'!U380</f>
        <v>0</v>
      </c>
      <c r="P102" s="39">
        <f>'Exp Details'!V380</f>
        <v>0</v>
      </c>
      <c r="Q102" s="36"/>
      <c r="R102" s="41"/>
      <c r="S102" s="354">
        <f t="shared" si="57"/>
        <v>0</v>
      </c>
      <c r="T102" s="41"/>
      <c r="U102" s="362">
        <f t="shared" si="38"/>
        <v>0</v>
      </c>
      <c r="V102" s="41"/>
      <c r="W102" s="362">
        <v>0</v>
      </c>
      <c r="X102" s="362">
        <f t="shared" si="58"/>
        <v>0</v>
      </c>
      <c r="Y102" s="41"/>
      <c r="Z102" s="362">
        <v>0</v>
      </c>
      <c r="AA102" s="362">
        <f t="shared" si="59"/>
        <v>0</v>
      </c>
      <c r="AB102" s="41"/>
      <c r="AC102" s="247">
        <v>0</v>
      </c>
      <c r="AD102" s="247">
        <f t="shared" si="60"/>
        <v>0</v>
      </c>
    </row>
    <row r="103" spans="3:30" s="37" customFormat="1" ht="12" x14ac:dyDescent="0.2">
      <c r="C103" s="38"/>
      <c r="E103" s="50">
        <f t="shared" ref="E103:O103" si="61">SUBTOTAL(9,E96:E102)</f>
        <v>1295</v>
      </c>
      <c r="F103" s="50">
        <f t="shared" si="61"/>
        <v>8975</v>
      </c>
      <c r="G103" s="50">
        <f t="shared" si="61"/>
        <v>4579</v>
      </c>
      <c r="H103" s="50">
        <f t="shared" si="61"/>
        <v>1435</v>
      </c>
      <c r="I103" s="50">
        <f t="shared" si="61"/>
        <v>6370</v>
      </c>
      <c r="J103" s="50">
        <f t="shared" si="61"/>
        <v>1435</v>
      </c>
      <c r="K103" s="50">
        <f t="shared" si="61"/>
        <v>23415</v>
      </c>
      <c r="L103" s="50">
        <f t="shared" si="61"/>
        <v>1999</v>
      </c>
      <c r="M103" s="50">
        <f t="shared" si="61"/>
        <v>1295</v>
      </c>
      <c r="N103" s="50">
        <f t="shared" si="61"/>
        <v>1295</v>
      </c>
      <c r="O103" s="50">
        <f t="shared" si="61"/>
        <v>1995</v>
      </c>
      <c r="P103" s="50">
        <f t="shared" ref="P103" si="62">SUBTOTAL(9,P96:P102)</f>
        <v>5645</v>
      </c>
      <c r="Q103" s="51"/>
      <c r="R103" s="41"/>
      <c r="S103" s="355">
        <f t="shared" ref="S103:AA103" si="63">SUBTOTAL(9,S96:S102)</f>
        <v>59733</v>
      </c>
      <c r="T103" s="41"/>
      <c r="U103" s="363">
        <f t="shared" si="38"/>
        <v>49503</v>
      </c>
      <c r="V103" s="41"/>
      <c r="W103" s="363">
        <v>22734.520000000004</v>
      </c>
      <c r="X103" s="363">
        <f t="shared" ref="X103" si="64">SUBTOTAL(9,X96:X102)</f>
        <v>36998.479999999996</v>
      </c>
      <c r="Y103" s="41"/>
      <c r="Z103" s="363">
        <v>31527.250000000004</v>
      </c>
      <c r="AA103" s="363">
        <f t="shared" si="63"/>
        <v>-28205.749999999996</v>
      </c>
      <c r="AB103" s="41"/>
      <c r="AC103" s="249">
        <f t="shared" ref="AC103:AD103" si="65">SUBTOTAL(9,AC96:AC102)</f>
        <v>0</v>
      </c>
      <c r="AD103" s="249">
        <f t="shared" si="65"/>
        <v>-59733</v>
      </c>
    </row>
    <row r="104" spans="3:30" s="37" customFormat="1" ht="12" x14ac:dyDescent="0.2">
      <c r="C104" s="49" t="s">
        <v>103</v>
      </c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44"/>
      <c r="R104" s="41"/>
      <c r="S104" s="354"/>
      <c r="T104" s="41"/>
      <c r="U104" s="362">
        <f t="shared" si="38"/>
        <v>0</v>
      </c>
      <c r="V104" s="41"/>
      <c r="W104" s="362"/>
      <c r="X104" s="362"/>
      <c r="Y104" s="41"/>
      <c r="Z104" s="362"/>
      <c r="AA104" s="362"/>
      <c r="AB104" s="41"/>
      <c r="AC104" s="247"/>
      <c r="AD104" s="247"/>
    </row>
    <row r="105" spans="3:30" s="37" customFormat="1" ht="12" x14ac:dyDescent="0.2">
      <c r="C105" s="199">
        <v>6734</v>
      </c>
      <c r="D105" s="37" t="s">
        <v>41</v>
      </c>
      <c r="E105" s="39">
        <f>'Exp Details'!K388</f>
        <v>0</v>
      </c>
      <c r="F105" s="39">
        <f>'Exp Details'!L388</f>
        <v>0</v>
      </c>
      <c r="G105" s="39">
        <f>'Exp Details'!M388</f>
        <v>0</v>
      </c>
      <c r="H105" s="39">
        <f>'Exp Details'!N388</f>
        <v>0</v>
      </c>
      <c r="I105" s="39">
        <f>'Exp Details'!O388</f>
        <v>0</v>
      </c>
      <c r="J105" s="39">
        <f>'Exp Details'!P388</f>
        <v>0</v>
      </c>
      <c r="K105" s="39">
        <f>'Exp Details'!Q388</f>
        <v>0</v>
      </c>
      <c r="L105" s="39">
        <f>'Exp Details'!R388</f>
        <v>0</v>
      </c>
      <c r="M105" s="39">
        <f>'Exp Details'!S388</f>
        <v>0</v>
      </c>
      <c r="N105" s="39">
        <f>'Exp Details'!T388</f>
        <v>0</v>
      </c>
      <c r="O105" s="39">
        <f>'Exp Details'!U388</f>
        <v>0</v>
      </c>
      <c r="P105" s="39">
        <f>'Exp Details'!V388</f>
        <v>0</v>
      </c>
      <c r="Q105" s="36"/>
      <c r="R105" s="41"/>
      <c r="S105" s="354">
        <f t="shared" ref="S105" si="66">SUM(E105:Q105)</f>
        <v>0</v>
      </c>
      <c r="T105" s="41"/>
      <c r="U105" s="362">
        <f t="shared" si="38"/>
        <v>0</v>
      </c>
      <c r="V105" s="41"/>
      <c r="W105" s="362">
        <v>0</v>
      </c>
      <c r="X105" s="362">
        <f t="shared" ref="X105" si="67">S105-W105</f>
        <v>0</v>
      </c>
      <c r="Y105" s="41"/>
      <c r="Z105" s="362">
        <v>0</v>
      </c>
      <c r="AA105" s="362">
        <f>Z105-S105</f>
        <v>0</v>
      </c>
      <c r="AB105" s="41"/>
      <c r="AC105" s="247">
        <v>0</v>
      </c>
      <c r="AD105" s="247">
        <f>AC105-S105</f>
        <v>0</v>
      </c>
    </row>
    <row r="106" spans="3:30" s="37" customFormat="1" ht="12" x14ac:dyDescent="0.2">
      <c r="C106" s="38"/>
      <c r="E106" s="50">
        <f t="shared" ref="E106:O106" si="68">SUBTOTAL(9,E105)</f>
        <v>0</v>
      </c>
      <c r="F106" s="50">
        <f t="shared" si="68"/>
        <v>0</v>
      </c>
      <c r="G106" s="50">
        <f t="shared" si="68"/>
        <v>0</v>
      </c>
      <c r="H106" s="50">
        <f t="shared" si="68"/>
        <v>0</v>
      </c>
      <c r="I106" s="50">
        <f t="shared" si="68"/>
        <v>0</v>
      </c>
      <c r="J106" s="50">
        <f t="shared" si="68"/>
        <v>0</v>
      </c>
      <c r="K106" s="50">
        <f t="shared" si="68"/>
        <v>0</v>
      </c>
      <c r="L106" s="50">
        <f t="shared" si="68"/>
        <v>0</v>
      </c>
      <c r="M106" s="50">
        <f t="shared" si="68"/>
        <v>0</v>
      </c>
      <c r="N106" s="50">
        <f t="shared" si="68"/>
        <v>0</v>
      </c>
      <c r="O106" s="50">
        <f t="shared" si="68"/>
        <v>0</v>
      </c>
      <c r="P106" s="50">
        <f t="shared" ref="P106" si="69">SUBTOTAL(9,P105)</f>
        <v>0</v>
      </c>
      <c r="Q106" s="51"/>
      <c r="R106" s="41"/>
      <c r="S106" s="355">
        <f t="shared" ref="S106:AA106" si="70">SUBTOTAL(9,S105)</f>
        <v>0</v>
      </c>
      <c r="T106" s="41"/>
      <c r="U106" s="363">
        <f t="shared" si="38"/>
        <v>0</v>
      </c>
      <c r="V106" s="41"/>
      <c r="W106" s="363">
        <v>0</v>
      </c>
      <c r="X106" s="363">
        <f t="shared" ref="X106" si="71">SUBTOTAL(9,X105)</f>
        <v>0</v>
      </c>
      <c r="Y106" s="41"/>
      <c r="Z106" s="363">
        <v>0</v>
      </c>
      <c r="AA106" s="363">
        <f t="shared" si="70"/>
        <v>0</v>
      </c>
      <c r="AB106" s="41"/>
      <c r="AC106" s="249">
        <f t="shared" ref="AC106:AD106" si="72">SUBTOTAL(9,AC105)</f>
        <v>0</v>
      </c>
      <c r="AD106" s="249">
        <f t="shared" si="72"/>
        <v>0</v>
      </c>
    </row>
    <row r="107" spans="3:30" s="37" customFormat="1" ht="12" x14ac:dyDescent="0.2">
      <c r="C107" s="49" t="s">
        <v>104</v>
      </c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44"/>
      <c r="R107" s="41"/>
      <c r="S107" s="354"/>
      <c r="T107" s="41"/>
      <c r="U107" s="362">
        <f t="shared" si="38"/>
        <v>0</v>
      </c>
      <c r="V107" s="41"/>
      <c r="W107" s="362"/>
      <c r="X107" s="362"/>
      <c r="Y107" s="41"/>
      <c r="Z107" s="362"/>
      <c r="AA107" s="362"/>
      <c r="AB107" s="41"/>
      <c r="AC107" s="247"/>
      <c r="AD107" s="247"/>
    </row>
    <row r="108" spans="3:30" s="37" customFormat="1" ht="12" x14ac:dyDescent="0.2">
      <c r="C108" s="199">
        <v>6810</v>
      </c>
      <c r="D108" s="37" t="s">
        <v>42</v>
      </c>
      <c r="E108" s="39">
        <f>'Exp Details'!K408</f>
        <v>953</v>
      </c>
      <c r="F108" s="39">
        <f>'Exp Details'!L408</f>
        <v>2745</v>
      </c>
      <c r="G108" s="39">
        <f>'Exp Details'!M408</f>
        <v>8695</v>
      </c>
      <c r="H108" s="39">
        <f>'Exp Details'!N408</f>
        <v>295</v>
      </c>
      <c r="I108" s="39">
        <f>'Exp Details'!O408</f>
        <v>545</v>
      </c>
      <c r="J108" s="39">
        <f>'Exp Details'!P408</f>
        <v>1540</v>
      </c>
      <c r="K108" s="39">
        <f>'Exp Details'!Q408</f>
        <v>295</v>
      </c>
      <c r="L108" s="39">
        <f>'Exp Details'!R408</f>
        <v>545</v>
      </c>
      <c r="M108" s="39">
        <f>'Exp Details'!S408</f>
        <v>295</v>
      </c>
      <c r="N108" s="39">
        <f>'Exp Details'!T408</f>
        <v>295</v>
      </c>
      <c r="O108" s="39">
        <f>'Exp Details'!U408</f>
        <v>545</v>
      </c>
      <c r="P108" s="39">
        <f>'Exp Details'!V408</f>
        <v>295</v>
      </c>
      <c r="Q108" s="36"/>
      <c r="R108" s="41"/>
      <c r="S108" s="354">
        <f t="shared" ref="S108" si="73">SUM(E108:Q108)</f>
        <v>17043</v>
      </c>
      <c r="T108" s="41"/>
      <c r="U108" s="362">
        <f t="shared" si="38"/>
        <v>15613</v>
      </c>
      <c r="V108" s="41"/>
      <c r="W108" s="362">
        <v>30522.999999999996</v>
      </c>
      <c r="X108" s="362">
        <f t="shared" ref="X108" si="74">S108-W108</f>
        <v>-13479.999999999996</v>
      </c>
      <c r="Y108" s="41"/>
      <c r="Z108" s="362">
        <v>718.00000000000011</v>
      </c>
      <c r="AA108" s="362">
        <f>Z108-S108</f>
        <v>-16325</v>
      </c>
      <c r="AB108" s="41"/>
      <c r="AC108" s="247">
        <v>0</v>
      </c>
      <c r="AD108" s="247">
        <f>AC108-S108</f>
        <v>-17043</v>
      </c>
    </row>
    <row r="109" spans="3:30" s="37" customFormat="1" ht="12" x14ac:dyDescent="0.2">
      <c r="C109" s="38"/>
      <c r="E109" s="50">
        <f t="shared" ref="E109:O109" si="75">SUBTOTAL(9,E108)</f>
        <v>953</v>
      </c>
      <c r="F109" s="50">
        <f t="shared" si="75"/>
        <v>2745</v>
      </c>
      <c r="G109" s="50">
        <f t="shared" si="75"/>
        <v>8695</v>
      </c>
      <c r="H109" s="50">
        <f t="shared" si="75"/>
        <v>295</v>
      </c>
      <c r="I109" s="50">
        <f t="shared" si="75"/>
        <v>545</v>
      </c>
      <c r="J109" s="50">
        <f t="shared" si="75"/>
        <v>1540</v>
      </c>
      <c r="K109" s="50">
        <f t="shared" si="75"/>
        <v>295</v>
      </c>
      <c r="L109" s="50">
        <f t="shared" si="75"/>
        <v>545</v>
      </c>
      <c r="M109" s="50">
        <f t="shared" si="75"/>
        <v>295</v>
      </c>
      <c r="N109" s="50">
        <f t="shared" si="75"/>
        <v>295</v>
      </c>
      <c r="O109" s="50">
        <f t="shared" si="75"/>
        <v>545</v>
      </c>
      <c r="P109" s="50">
        <f t="shared" ref="P109" si="76">SUBTOTAL(9,P108)</f>
        <v>295</v>
      </c>
      <c r="Q109" s="51"/>
      <c r="R109" s="41"/>
      <c r="S109" s="355">
        <f t="shared" ref="S109" si="77">SUBTOTAL(9,S108)</f>
        <v>17043</v>
      </c>
      <c r="T109" s="41"/>
      <c r="U109" s="363">
        <f t="shared" si="38"/>
        <v>15613</v>
      </c>
      <c r="V109" s="41"/>
      <c r="W109" s="363">
        <v>30522.999999999996</v>
      </c>
      <c r="X109" s="363">
        <f t="shared" ref="X109" si="78">SUBTOTAL(9,X108)</f>
        <v>-13479.999999999996</v>
      </c>
      <c r="Y109" s="41"/>
      <c r="Z109" s="363">
        <v>718.00000000000011</v>
      </c>
      <c r="AA109" s="363">
        <f t="shared" ref="AA109" si="79">SUBTOTAL(9,AA108)</f>
        <v>-16325</v>
      </c>
      <c r="AB109" s="41"/>
      <c r="AC109" s="249">
        <f t="shared" ref="AC109:AD109" si="80">SUBTOTAL(9,AC108)</f>
        <v>0</v>
      </c>
      <c r="AD109" s="249">
        <f t="shared" si="80"/>
        <v>-17043</v>
      </c>
    </row>
    <row r="110" spans="3:30" s="45" customFormat="1" ht="12" x14ac:dyDescent="0.2">
      <c r="C110" s="49" t="s">
        <v>43</v>
      </c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52"/>
      <c r="R110" s="48"/>
      <c r="S110" s="356"/>
      <c r="T110" s="48"/>
      <c r="U110" s="366">
        <f t="shared" si="38"/>
        <v>0</v>
      </c>
      <c r="V110" s="48"/>
      <c r="W110" s="366"/>
      <c r="X110" s="366"/>
      <c r="Y110" s="48"/>
      <c r="Z110" s="366"/>
      <c r="AA110" s="366"/>
      <c r="AB110" s="48"/>
      <c r="AC110" s="253"/>
      <c r="AD110" s="253"/>
    </row>
    <row r="111" spans="3:30" s="37" customFormat="1" ht="12" x14ac:dyDescent="0.2">
      <c r="C111" s="199">
        <v>7306</v>
      </c>
      <c r="D111" s="37" t="s">
        <v>43</v>
      </c>
      <c r="E111" s="39">
        <f>'Exp Details'!K418</f>
        <v>0</v>
      </c>
      <c r="F111" s="39">
        <f>'Exp Details'!L418</f>
        <v>0</v>
      </c>
      <c r="G111" s="39">
        <f>'Exp Details'!M418</f>
        <v>0</v>
      </c>
      <c r="H111" s="39">
        <f>'Exp Details'!N418</f>
        <v>0</v>
      </c>
      <c r="I111" s="39">
        <f>'Exp Details'!O418</f>
        <v>0</v>
      </c>
      <c r="J111" s="39">
        <f>'Exp Details'!P418</f>
        <v>0</v>
      </c>
      <c r="K111" s="39">
        <f>'Exp Details'!Q418</f>
        <v>0</v>
      </c>
      <c r="L111" s="39">
        <f>'Exp Details'!R418</f>
        <v>0</v>
      </c>
      <c r="M111" s="39">
        <f>'Exp Details'!S418</f>
        <v>0</v>
      </c>
      <c r="N111" s="39">
        <f>'Exp Details'!T418</f>
        <v>0</v>
      </c>
      <c r="O111" s="39">
        <f>'Exp Details'!U418</f>
        <v>0</v>
      </c>
      <c r="P111" s="39">
        <f>'Exp Details'!V418</f>
        <v>0</v>
      </c>
      <c r="Q111" s="36"/>
      <c r="R111" s="41"/>
      <c r="S111" s="356">
        <f t="shared" ref="S111:S112" si="81">SUM(E111:Q111)</f>
        <v>0</v>
      </c>
      <c r="T111" s="41"/>
      <c r="U111" s="364">
        <f t="shared" si="38"/>
        <v>0</v>
      </c>
      <c r="V111" s="41"/>
      <c r="W111" s="364">
        <v>0</v>
      </c>
      <c r="X111" s="362">
        <f t="shared" ref="X111:X112" si="82">S111-W111</f>
        <v>0</v>
      </c>
      <c r="Y111" s="41"/>
      <c r="Z111" s="364">
        <v>0</v>
      </c>
      <c r="AA111" s="362">
        <f t="shared" ref="AA111:AA112" si="83">Z111-S111</f>
        <v>0</v>
      </c>
      <c r="AB111" s="41"/>
      <c r="AC111" s="250">
        <v>0</v>
      </c>
      <c r="AD111" s="247">
        <f>AC111-S111</f>
        <v>0</v>
      </c>
    </row>
    <row r="112" spans="3:30" s="37" customFormat="1" ht="12" x14ac:dyDescent="0.2">
      <c r="C112" s="38">
        <v>7901</v>
      </c>
      <c r="D112" s="37" t="s">
        <v>177</v>
      </c>
      <c r="E112" s="39">
        <f>'Exp Details'!K427</f>
        <v>0</v>
      </c>
      <c r="F112" s="39">
        <f>'Exp Details'!L427</f>
        <v>0</v>
      </c>
      <c r="G112" s="39">
        <f>'Exp Details'!M427</f>
        <v>0</v>
      </c>
      <c r="H112" s="39">
        <f>'Exp Details'!N427</f>
        <v>0</v>
      </c>
      <c r="I112" s="39">
        <f>'Exp Details'!O427</f>
        <v>0</v>
      </c>
      <c r="J112" s="39">
        <f>'Exp Details'!P427</f>
        <v>0</v>
      </c>
      <c r="K112" s="39">
        <f>'Exp Details'!Q427</f>
        <v>0</v>
      </c>
      <c r="L112" s="39">
        <f>'Exp Details'!R427</f>
        <v>0</v>
      </c>
      <c r="M112" s="39">
        <f>'Exp Details'!S427</f>
        <v>0</v>
      </c>
      <c r="N112" s="39">
        <f>'Exp Details'!T427</f>
        <v>0</v>
      </c>
      <c r="O112" s="39">
        <f>'Exp Details'!U427</f>
        <v>0</v>
      </c>
      <c r="P112" s="39">
        <f>'Exp Details'!V427</f>
        <v>0</v>
      </c>
      <c r="Q112" s="36"/>
      <c r="R112" s="41"/>
      <c r="S112" s="356">
        <f t="shared" si="81"/>
        <v>0</v>
      </c>
      <c r="T112" s="41"/>
      <c r="U112" s="364">
        <f t="shared" si="38"/>
        <v>0</v>
      </c>
      <c r="V112" s="41"/>
      <c r="W112" s="364">
        <v>0</v>
      </c>
      <c r="X112" s="362">
        <f t="shared" si="82"/>
        <v>0</v>
      </c>
      <c r="Y112" s="41"/>
      <c r="Z112" s="364">
        <v>0</v>
      </c>
      <c r="AA112" s="362">
        <f t="shared" si="83"/>
        <v>0</v>
      </c>
      <c r="AB112" s="41"/>
      <c r="AC112" s="250">
        <v>0</v>
      </c>
      <c r="AD112" s="247">
        <f>AC112-S112</f>
        <v>0</v>
      </c>
    </row>
    <row r="113" spans="1:30" s="37" customFormat="1" ht="12" x14ac:dyDescent="0.2">
      <c r="C113" s="38"/>
      <c r="E113" s="50">
        <f t="shared" ref="E113:O113" si="84">SUBTOTAL(9,E111:E112)</f>
        <v>0</v>
      </c>
      <c r="F113" s="50">
        <f t="shared" si="84"/>
        <v>0</v>
      </c>
      <c r="G113" s="50">
        <f t="shared" si="84"/>
        <v>0</v>
      </c>
      <c r="H113" s="50">
        <f t="shared" si="84"/>
        <v>0</v>
      </c>
      <c r="I113" s="50">
        <f t="shared" si="84"/>
        <v>0</v>
      </c>
      <c r="J113" s="50">
        <f t="shared" si="84"/>
        <v>0</v>
      </c>
      <c r="K113" s="50">
        <f t="shared" si="84"/>
        <v>0</v>
      </c>
      <c r="L113" s="50">
        <f t="shared" si="84"/>
        <v>0</v>
      </c>
      <c r="M113" s="50">
        <f t="shared" si="84"/>
        <v>0</v>
      </c>
      <c r="N113" s="50">
        <f t="shared" si="84"/>
        <v>0</v>
      </c>
      <c r="O113" s="50">
        <f t="shared" si="84"/>
        <v>0</v>
      </c>
      <c r="P113" s="50">
        <f t="shared" ref="P113" si="85">SUBTOTAL(9,P111:P112)</f>
        <v>0</v>
      </c>
      <c r="Q113" s="51"/>
      <c r="R113" s="41"/>
      <c r="S113" s="355">
        <f>SUBTOTAL(9,S111:S112)</f>
        <v>0</v>
      </c>
      <c r="T113" s="41"/>
      <c r="U113" s="363">
        <f t="shared" si="38"/>
        <v>0</v>
      </c>
      <c r="V113" s="41"/>
      <c r="W113" s="363">
        <v>0</v>
      </c>
      <c r="X113" s="363">
        <f>SUBTOTAL(9,X111:X112)</f>
        <v>0</v>
      </c>
      <c r="Y113" s="41"/>
      <c r="Z113" s="363">
        <v>0</v>
      </c>
      <c r="AA113" s="363">
        <f>SUBTOTAL(9,AA111:AA112)</f>
        <v>0</v>
      </c>
      <c r="AB113" s="41"/>
      <c r="AC113" s="249">
        <f>SUBTOTAL(9,AC111:AC112)</f>
        <v>0</v>
      </c>
      <c r="AD113" s="249">
        <f>SUBTOTAL(9,AD111:AD112)</f>
        <v>0</v>
      </c>
    </row>
    <row r="114" spans="1:30" s="37" customFormat="1" ht="9" customHeight="1" x14ac:dyDescent="0.2">
      <c r="C114" s="38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44"/>
      <c r="R114" s="41"/>
      <c r="S114" s="354"/>
      <c r="T114" s="41"/>
      <c r="U114" s="362">
        <f t="shared" si="38"/>
        <v>0</v>
      </c>
      <c r="V114" s="41"/>
      <c r="W114" s="362"/>
      <c r="X114" s="362"/>
      <c r="Y114" s="41"/>
      <c r="Z114" s="362"/>
      <c r="AA114" s="362"/>
      <c r="AB114" s="41"/>
      <c r="AC114" s="247"/>
      <c r="AD114" s="247"/>
    </row>
    <row r="115" spans="1:30" s="45" customFormat="1" ht="12" x14ac:dyDescent="0.2">
      <c r="A115" s="45" t="s">
        <v>107</v>
      </c>
      <c r="C115" s="46"/>
      <c r="E115" s="43">
        <f t="shared" ref="E115:O115" si="86">SUBTOTAL(9,E30:E114)</f>
        <v>144515.82788170833</v>
      </c>
      <c r="F115" s="43">
        <f t="shared" si="86"/>
        <v>197914.33788170831</v>
      </c>
      <c r="G115" s="43">
        <f t="shared" si="86"/>
        <v>192042.29488170831</v>
      </c>
      <c r="H115" s="43">
        <f t="shared" si="86"/>
        <v>219108.70488170834</v>
      </c>
      <c r="I115" s="43">
        <f t="shared" si="86"/>
        <v>180607.15988170833</v>
      </c>
      <c r="J115" s="43">
        <f t="shared" si="86"/>
        <v>162460.18488170832</v>
      </c>
      <c r="K115" s="43">
        <f t="shared" si="86"/>
        <v>198809.33488170835</v>
      </c>
      <c r="L115" s="43">
        <f t="shared" si="86"/>
        <v>176783.11988170832</v>
      </c>
      <c r="M115" s="43">
        <f t="shared" si="86"/>
        <v>155836.86488170832</v>
      </c>
      <c r="N115" s="43">
        <f t="shared" si="86"/>
        <v>195386.51488170834</v>
      </c>
      <c r="O115" s="43">
        <f t="shared" si="86"/>
        <v>155245.57288170833</v>
      </c>
      <c r="P115" s="43">
        <f t="shared" ref="P115" si="87">SUBTOTAL(9,P30:P114)</f>
        <v>197963.07788170836</v>
      </c>
      <c r="Q115" s="47"/>
      <c r="R115" s="48"/>
      <c r="S115" s="357">
        <f>SUBTOTAL(9,S30:S114)</f>
        <v>2176672.9955805</v>
      </c>
      <c r="T115" s="48"/>
      <c r="U115" s="365">
        <f t="shared" si="38"/>
        <v>1472240.9650536666</v>
      </c>
      <c r="V115" s="48"/>
      <c r="W115" s="365">
        <v>657119.46167773439</v>
      </c>
      <c r="X115" s="365">
        <f>SUBTOTAL(9,X30:X114)</f>
        <v>1519553.5339027657</v>
      </c>
      <c r="Y115" s="48"/>
      <c r="Z115" s="365">
        <v>855067.36543275008</v>
      </c>
      <c r="AA115" s="365">
        <f>SUBTOTAL(9,AA30:AA114)</f>
        <v>-1321605.6301477498</v>
      </c>
      <c r="AB115" s="48"/>
      <c r="AC115" s="251">
        <f>SUBTOTAL(9,AC30:AC114)</f>
        <v>0</v>
      </c>
      <c r="AD115" s="251">
        <f>SUBTOTAL(9,AD30:AD114)</f>
        <v>-2176672.9955805</v>
      </c>
    </row>
    <row r="116" spans="1:30" s="37" customFormat="1" ht="12" x14ac:dyDescent="0.2">
      <c r="C116" s="38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44"/>
      <c r="R116" s="41"/>
      <c r="S116" s="354"/>
      <c r="T116" s="41"/>
      <c r="U116" s="362">
        <f t="shared" si="38"/>
        <v>0</v>
      </c>
      <c r="V116" s="41"/>
      <c r="W116" s="362"/>
      <c r="X116" s="362"/>
      <c r="Y116" s="41"/>
      <c r="Z116" s="362"/>
      <c r="AA116" s="362"/>
      <c r="AB116" s="41"/>
      <c r="AC116" s="247"/>
      <c r="AD116" s="247"/>
    </row>
    <row r="117" spans="1:30" s="45" customFormat="1" ht="12.75" thickBot="1" x14ac:dyDescent="0.25">
      <c r="A117" s="45" t="s">
        <v>108</v>
      </c>
      <c r="C117" s="46"/>
      <c r="E117" s="181">
        <f t="shared" ref="E117:O117" si="88">E27-E115</f>
        <v>5604.1721182916663</v>
      </c>
      <c r="F117" s="181">
        <f t="shared" si="88"/>
        <v>-47794.337881708314</v>
      </c>
      <c r="G117" s="181">
        <f t="shared" si="88"/>
        <v>-41922.294881708309</v>
      </c>
      <c r="H117" s="181">
        <f t="shared" si="88"/>
        <v>20651.295118291659</v>
      </c>
      <c r="I117" s="181">
        <f t="shared" si="88"/>
        <v>-30487.159881708329</v>
      </c>
      <c r="J117" s="181">
        <f t="shared" si="88"/>
        <v>-4471.3148817083274</v>
      </c>
      <c r="K117" s="181">
        <f t="shared" si="88"/>
        <v>49172.665118291654</v>
      </c>
      <c r="L117" s="181">
        <f t="shared" si="88"/>
        <v>-26663.11988170832</v>
      </c>
      <c r="M117" s="181">
        <f t="shared" si="88"/>
        <v>-5716.8648817083158</v>
      </c>
      <c r="N117" s="181">
        <f t="shared" si="88"/>
        <v>44373.485118291661</v>
      </c>
      <c r="O117" s="181">
        <f t="shared" si="88"/>
        <v>3743.2971182916663</v>
      </c>
      <c r="P117" s="181">
        <f t="shared" ref="P117" si="89">P27-P115</f>
        <v>52068.417318291613</v>
      </c>
      <c r="Q117" s="190"/>
      <c r="R117" s="191"/>
      <c r="S117" s="358">
        <f>S27-S115</f>
        <v>18558.239619500004</v>
      </c>
      <c r="T117" s="48"/>
      <c r="U117" s="367">
        <f t="shared" si="38"/>
        <v>-75910.095053666621</v>
      </c>
      <c r="V117" s="191"/>
      <c r="W117" s="367">
        <v>23740.158322265605</v>
      </c>
      <c r="X117" s="367">
        <f>X27+X115</f>
        <v>3033925.1491027651</v>
      </c>
      <c r="Y117" s="48"/>
      <c r="Z117" s="367">
        <v>28649.134567249916</v>
      </c>
      <c r="AA117" s="367">
        <f>AA27+AA115</f>
        <v>-10090.894947750028</v>
      </c>
      <c r="AB117" s="48"/>
      <c r="AC117" s="254">
        <f>AC27-AC115</f>
        <v>0</v>
      </c>
      <c r="AD117" s="254">
        <f>AD27+AD115</f>
        <v>18558.239619500004</v>
      </c>
    </row>
    <row r="118" spans="1:30" s="37" customFormat="1" ht="12.75" thickTop="1" x14ac:dyDescent="0.2">
      <c r="C118" s="38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44"/>
      <c r="R118" s="41"/>
      <c r="S118" s="354"/>
      <c r="T118" s="41"/>
      <c r="U118" s="362"/>
      <c r="V118" s="41"/>
      <c r="W118" s="362"/>
      <c r="X118" s="362"/>
      <c r="Y118" s="41"/>
      <c r="Z118" s="362"/>
      <c r="AA118" s="362"/>
      <c r="AB118" s="41"/>
      <c r="AC118" s="39"/>
      <c r="AD118" s="39"/>
    </row>
    <row r="119" spans="1:30" s="37" customFormat="1" ht="12" x14ac:dyDescent="0.2">
      <c r="A119" s="53" t="s">
        <v>109</v>
      </c>
      <c r="B119" s="54"/>
      <c r="C119" s="54"/>
      <c r="D119" s="54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44"/>
      <c r="R119" s="41"/>
      <c r="S119" s="354"/>
      <c r="T119" s="41"/>
      <c r="U119" s="362"/>
      <c r="V119" s="41"/>
      <c r="W119" s="362"/>
      <c r="X119" s="362"/>
      <c r="Y119" s="41"/>
      <c r="Z119" s="362"/>
      <c r="AA119" s="362"/>
      <c r="AB119" s="41"/>
      <c r="AC119" s="39"/>
      <c r="AD119" s="39"/>
    </row>
    <row r="120" spans="1:30" s="37" customFormat="1" ht="12" x14ac:dyDescent="0.2">
      <c r="A120" s="53"/>
      <c r="B120" s="53"/>
      <c r="C120" s="54" t="s">
        <v>110</v>
      </c>
      <c r="D120" s="54"/>
      <c r="E120" s="39">
        <f>E117</f>
        <v>5604.1721182916663</v>
      </c>
      <c r="F120" s="39">
        <f t="shared" ref="F120:P120" si="90">F117</f>
        <v>-47794.337881708314</v>
      </c>
      <c r="G120" s="39">
        <f t="shared" si="90"/>
        <v>-41922.294881708309</v>
      </c>
      <c r="H120" s="39">
        <f t="shared" si="90"/>
        <v>20651.295118291659</v>
      </c>
      <c r="I120" s="39">
        <f t="shared" si="90"/>
        <v>-30487.159881708329</v>
      </c>
      <c r="J120" s="39">
        <f t="shared" si="90"/>
        <v>-4471.3148817083274</v>
      </c>
      <c r="K120" s="39">
        <f t="shared" si="90"/>
        <v>49172.665118291654</v>
      </c>
      <c r="L120" s="39">
        <f t="shared" si="90"/>
        <v>-26663.11988170832</v>
      </c>
      <c r="M120" s="39">
        <f t="shared" si="90"/>
        <v>-5716.8648817083158</v>
      </c>
      <c r="N120" s="39">
        <f t="shared" si="90"/>
        <v>44373.485118291661</v>
      </c>
      <c r="O120" s="39">
        <f t="shared" si="90"/>
        <v>3743.2971182916663</v>
      </c>
      <c r="P120" s="39">
        <f t="shared" si="90"/>
        <v>52068.417318291613</v>
      </c>
      <c r="Q120" s="44"/>
      <c r="R120" s="41"/>
      <c r="S120" s="354">
        <f t="shared" ref="S120:S136" si="91">SUM(E120:Q120)</f>
        <v>18558.239619500004</v>
      </c>
      <c r="T120" s="41"/>
      <c r="U120" s="362"/>
      <c r="V120" s="41"/>
      <c r="W120" s="362"/>
      <c r="X120" s="362"/>
      <c r="Y120" s="41"/>
      <c r="Z120" s="362"/>
      <c r="AA120" s="362"/>
      <c r="AB120" s="41"/>
      <c r="AC120" s="39"/>
      <c r="AD120" s="39"/>
    </row>
    <row r="121" spans="1:30" s="37" customFormat="1" ht="12" x14ac:dyDescent="0.2">
      <c r="A121" s="54"/>
      <c r="B121" s="54" t="s">
        <v>111</v>
      </c>
      <c r="C121" s="54" t="s">
        <v>112</v>
      </c>
      <c r="D121" s="54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44"/>
      <c r="R121" s="41"/>
      <c r="S121" s="354"/>
      <c r="T121" s="41"/>
      <c r="U121" s="362"/>
      <c r="V121" s="41"/>
      <c r="W121" s="362"/>
      <c r="X121" s="362"/>
      <c r="Y121" s="41"/>
      <c r="Z121" s="362"/>
      <c r="AA121" s="362"/>
      <c r="AB121" s="41"/>
      <c r="AC121" s="39"/>
      <c r="AD121" s="39"/>
    </row>
    <row r="122" spans="1:30" s="37" customFormat="1" ht="12" x14ac:dyDescent="0.2">
      <c r="A122" s="54"/>
      <c r="B122" s="54" t="s">
        <v>111</v>
      </c>
      <c r="C122" s="54"/>
      <c r="D122" s="55" t="s">
        <v>113</v>
      </c>
      <c r="E122" s="39">
        <f>E112</f>
        <v>0</v>
      </c>
      <c r="F122" s="39">
        <f t="shared" ref="F122:P122" si="92">F112</f>
        <v>0</v>
      </c>
      <c r="G122" s="39">
        <f t="shared" si="92"/>
        <v>0</v>
      </c>
      <c r="H122" s="39">
        <f t="shared" si="92"/>
        <v>0</v>
      </c>
      <c r="I122" s="39">
        <f t="shared" si="92"/>
        <v>0</v>
      </c>
      <c r="J122" s="39">
        <f t="shared" si="92"/>
        <v>0</v>
      </c>
      <c r="K122" s="39">
        <f t="shared" si="92"/>
        <v>0</v>
      </c>
      <c r="L122" s="39">
        <f t="shared" si="92"/>
        <v>0</v>
      </c>
      <c r="M122" s="39">
        <f t="shared" si="92"/>
        <v>0</v>
      </c>
      <c r="N122" s="39">
        <f t="shared" si="92"/>
        <v>0</v>
      </c>
      <c r="O122" s="39">
        <f t="shared" si="92"/>
        <v>0</v>
      </c>
      <c r="P122" s="39">
        <f t="shared" si="92"/>
        <v>0</v>
      </c>
      <c r="Q122" s="44"/>
      <c r="R122" s="41"/>
      <c r="S122" s="354">
        <f t="shared" si="91"/>
        <v>0</v>
      </c>
      <c r="T122" s="41"/>
      <c r="U122" s="362"/>
      <c r="V122" s="41"/>
      <c r="W122" s="362"/>
      <c r="X122" s="362"/>
      <c r="Y122" s="41"/>
      <c r="Z122" s="362"/>
      <c r="AA122" s="362"/>
      <c r="AB122" s="41"/>
      <c r="AC122" s="39"/>
      <c r="AD122" s="39"/>
    </row>
    <row r="123" spans="1:30" s="37" customFormat="1" ht="12" x14ac:dyDescent="0.2">
      <c r="A123" s="54"/>
      <c r="B123" s="54" t="s">
        <v>111</v>
      </c>
      <c r="C123" s="54"/>
      <c r="D123" s="55" t="s">
        <v>114</v>
      </c>
      <c r="E123" s="39">
        <v>0</v>
      </c>
      <c r="F123" s="39">
        <v>0</v>
      </c>
      <c r="G123" s="39">
        <v>0</v>
      </c>
      <c r="H123" s="39">
        <v>0</v>
      </c>
      <c r="I123" s="39">
        <v>0</v>
      </c>
      <c r="J123" s="39">
        <v>0</v>
      </c>
      <c r="K123" s="39">
        <v>0</v>
      </c>
      <c r="L123" s="39">
        <v>0</v>
      </c>
      <c r="M123" s="39">
        <v>0</v>
      </c>
      <c r="N123" s="39">
        <v>0</v>
      </c>
      <c r="O123" s="39">
        <v>0</v>
      </c>
      <c r="P123" s="39">
        <v>0</v>
      </c>
      <c r="Q123" s="44"/>
      <c r="R123" s="41"/>
      <c r="S123" s="354">
        <f t="shared" si="91"/>
        <v>0</v>
      </c>
      <c r="T123" s="41"/>
      <c r="U123" s="362"/>
      <c r="V123" s="41"/>
      <c r="W123" s="362"/>
      <c r="X123" s="362"/>
      <c r="Y123" s="41"/>
      <c r="Z123" s="362"/>
      <c r="AA123" s="362"/>
      <c r="AB123" s="41"/>
      <c r="AC123" s="39"/>
      <c r="AD123" s="39"/>
    </row>
    <row r="124" spans="1:30" s="37" customFormat="1" ht="12" x14ac:dyDescent="0.2">
      <c r="A124" s="54"/>
      <c r="B124" s="54" t="s">
        <v>111</v>
      </c>
      <c r="C124" s="54"/>
      <c r="D124" s="55" t="s">
        <v>115</v>
      </c>
      <c r="E124" s="39">
        <v>0</v>
      </c>
      <c r="F124" s="39">
        <v>0</v>
      </c>
      <c r="G124" s="39">
        <v>0</v>
      </c>
      <c r="H124" s="39">
        <v>0</v>
      </c>
      <c r="I124" s="39">
        <v>0</v>
      </c>
      <c r="J124" s="39">
        <v>0</v>
      </c>
      <c r="K124" s="39">
        <v>0</v>
      </c>
      <c r="L124" s="39">
        <v>0</v>
      </c>
      <c r="M124" s="39">
        <v>0</v>
      </c>
      <c r="N124" s="39">
        <v>0</v>
      </c>
      <c r="O124" s="39">
        <v>0</v>
      </c>
      <c r="P124" s="39">
        <v>0</v>
      </c>
      <c r="Q124" s="44"/>
      <c r="R124" s="41"/>
      <c r="S124" s="354">
        <f t="shared" si="91"/>
        <v>0</v>
      </c>
      <c r="T124" s="41"/>
      <c r="U124" s="362"/>
      <c r="V124" s="41"/>
      <c r="W124" s="362"/>
      <c r="X124" s="362"/>
      <c r="Y124" s="41"/>
      <c r="Z124" s="362"/>
      <c r="AA124" s="362"/>
      <c r="AB124" s="41"/>
      <c r="AC124" s="39"/>
      <c r="AD124" s="39"/>
    </row>
    <row r="125" spans="1:30" s="37" customFormat="1" ht="12" x14ac:dyDescent="0.2">
      <c r="A125" s="54"/>
      <c r="B125" s="54" t="s">
        <v>111</v>
      </c>
      <c r="C125" s="54"/>
      <c r="D125" s="55" t="s">
        <v>116</v>
      </c>
      <c r="E125" s="39">
        <v>0</v>
      </c>
      <c r="F125" s="39">
        <v>0</v>
      </c>
      <c r="G125" s="39">
        <v>0</v>
      </c>
      <c r="H125" s="39">
        <v>0</v>
      </c>
      <c r="I125" s="39">
        <v>0</v>
      </c>
      <c r="J125" s="39">
        <v>0</v>
      </c>
      <c r="K125" s="39">
        <v>0</v>
      </c>
      <c r="L125" s="39">
        <v>0</v>
      </c>
      <c r="M125" s="39">
        <v>0</v>
      </c>
      <c r="N125" s="39">
        <v>0</v>
      </c>
      <c r="O125" s="39">
        <v>0</v>
      </c>
      <c r="P125" s="39">
        <v>0</v>
      </c>
      <c r="Q125" s="44"/>
      <c r="R125" s="41"/>
      <c r="S125" s="354">
        <f t="shared" si="91"/>
        <v>0</v>
      </c>
      <c r="T125" s="41"/>
      <c r="U125" s="362"/>
      <c r="V125" s="41"/>
      <c r="W125" s="362"/>
      <c r="X125" s="362"/>
      <c r="Y125" s="41"/>
      <c r="Z125" s="362"/>
      <c r="AA125" s="362"/>
      <c r="AB125" s="41"/>
      <c r="AC125" s="39"/>
      <c r="AD125" s="39"/>
    </row>
    <row r="126" spans="1:30" s="37" customFormat="1" ht="12" x14ac:dyDescent="0.2">
      <c r="A126" s="54"/>
      <c r="B126" s="54" t="s">
        <v>111</v>
      </c>
      <c r="C126" s="54"/>
      <c r="D126" s="55" t="s">
        <v>117</v>
      </c>
      <c r="E126" s="39">
        <v>0</v>
      </c>
      <c r="F126" s="39">
        <v>0</v>
      </c>
      <c r="G126" s="39">
        <v>0</v>
      </c>
      <c r="H126" s="39">
        <v>0</v>
      </c>
      <c r="I126" s="39">
        <v>0</v>
      </c>
      <c r="J126" s="39">
        <v>0</v>
      </c>
      <c r="K126" s="39">
        <v>0</v>
      </c>
      <c r="L126" s="39">
        <v>0</v>
      </c>
      <c r="M126" s="39">
        <v>0</v>
      </c>
      <c r="N126" s="39">
        <v>0</v>
      </c>
      <c r="O126" s="39">
        <v>0</v>
      </c>
      <c r="P126" s="39">
        <v>0</v>
      </c>
      <c r="Q126" s="44"/>
      <c r="R126" s="41"/>
      <c r="S126" s="354">
        <f t="shared" si="91"/>
        <v>0</v>
      </c>
      <c r="T126" s="41"/>
      <c r="U126" s="362"/>
      <c r="V126" s="41"/>
      <c r="W126" s="362"/>
      <c r="X126" s="362"/>
      <c r="Y126" s="41"/>
      <c r="Z126" s="362"/>
      <c r="AA126" s="362"/>
      <c r="AB126" s="41"/>
      <c r="AC126" s="39"/>
      <c r="AD126" s="39"/>
    </row>
    <row r="127" spans="1:30" s="37" customFormat="1" ht="12" x14ac:dyDescent="0.2">
      <c r="A127" s="54"/>
      <c r="B127" s="54" t="s">
        <v>111</v>
      </c>
      <c r="C127" s="54"/>
      <c r="D127" s="55" t="s">
        <v>118</v>
      </c>
      <c r="E127" s="39">
        <v>0</v>
      </c>
      <c r="F127" s="39">
        <v>0</v>
      </c>
      <c r="G127" s="39">
        <v>0</v>
      </c>
      <c r="H127" s="39">
        <v>0</v>
      </c>
      <c r="I127" s="39">
        <v>0</v>
      </c>
      <c r="J127" s="39">
        <v>0</v>
      </c>
      <c r="K127" s="39">
        <v>0</v>
      </c>
      <c r="L127" s="39">
        <v>0</v>
      </c>
      <c r="M127" s="39">
        <v>0</v>
      </c>
      <c r="N127" s="39">
        <v>0</v>
      </c>
      <c r="O127" s="39">
        <v>0</v>
      </c>
      <c r="P127" s="39">
        <v>0</v>
      </c>
      <c r="Q127" s="44"/>
      <c r="R127" s="41"/>
      <c r="S127" s="354">
        <f t="shared" si="91"/>
        <v>0</v>
      </c>
      <c r="T127" s="41"/>
      <c r="U127" s="362"/>
      <c r="V127" s="41"/>
      <c r="W127" s="362"/>
      <c r="X127" s="362"/>
      <c r="Y127" s="41"/>
      <c r="Z127" s="362"/>
      <c r="AA127" s="362"/>
      <c r="AB127" s="41"/>
      <c r="AC127" s="39"/>
      <c r="AD127" s="39"/>
    </row>
    <row r="128" spans="1:30" s="37" customFormat="1" ht="12" x14ac:dyDescent="0.2">
      <c r="A128" s="54"/>
      <c r="B128" s="54" t="s">
        <v>111</v>
      </c>
      <c r="C128" s="54"/>
      <c r="D128" s="55" t="s">
        <v>119</v>
      </c>
      <c r="E128" s="39">
        <v>0</v>
      </c>
      <c r="F128" s="39">
        <v>0</v>
      </c>
      <c r="G128" s="39">
        <v>0</v>
      </c>
      <c r="H128" s="39">
        <v>0</v>
      </c>
      <c r="I128" s="39">
        <v>0</v>
      </c>
      <c r="J128" s="39">
        <v>0</v>
      </c>
      <c r="K128" s="39">
        <v>0</v>
      </c>
      <c r="L128" s="39">
        <v>0</v>
      </c>
      <c r="M128" s="39">
        <v>0</v>
      </c>
      <c r="N128" s="39">
        <v>0</v>
      </c>
      <c r="O128" s="39">
        <v>0</v>
      </c>
      <c r="P128" s="39">
        <v>0</v>
      </c>
      <c r="Q128" s="44"/>
      <c r="R128" s="41"/>
      <c r="S128" s="354">
        <f t="shared" si="91"/>
        <v>0</v>
      </c>
      <c r="T128" s="41"/>
      <c r="U128" s="362"/>
      <c r="V128" s="41"/>
      <c r="W128" s="362"/>
      <c r="X128" s="362"/>
      <c r="Y128" s="41"/>
      <c r="Z128" s="362"/>
      <c r="AA128" s="362"/>
      <c r="AB128" s="41"/>
      <c r="AC128" s="39"/>
      <c r="AD128" s="39"/>
    </row>
    <row r="129" spans="1:30" s="37" customFormat="1" ht="12" x14ac:dyDescent="0.2">
      <c r="A129" s="54"/>
      <c r="B129" s="54" t="s">
        <v>111</v>
      </c>
      <c r="C129" s="54"/>
      <c r="D129" s="55" t="s">
        <v>120</v>
      </c>
      <c r="E129" s="39">
        <v>0</v>
      </c>
      <c r="F129" s="39">
        <v>0</v>
      </c>
      <c r="G129" s="39">
        <v>0</v>
      </c>
      <c r="H129" s="39">
        <v>0</v>
      </c>
      <c r="I129" s="39">
        <v>0</v>
      </c>
      <c r="J129" s="39">
        <v>0</v>
      </c>
      <c r="K129" s="39">
        <v>0</v>
      </c>
      <c r="L129" s="39">
        <v>0</v>
      </c>
      <c r="M129" s="39">
        <v>0</v>
      </c>
      <c r="N129" s="39">
        <v>0</v>
      </c>
      <c r="O129" s="39">
        <v>0</v>
      </c>
      <c r="P129" s="39">
        <v>0</v>
      </c>
      <c r="Q129" s="44"/>
      <c r="R129" s="41"/>
      <c r="S129" s="354">
        <f t="shared" si="91"/>
        <v>0</v>
      </c>
      <c r="T129" s="41"/>
      <c r="U129" s="362"/>
      <c r="V129" s="41"/>
      <c r="W129" s="362"/>
      <c r="X129" s="362"/>
      <c r="Y129" s="41"/>
      <c r="Z129" s="362"/>
      <c r="AA129" s="362"/>
      <c r="AB129" s="41"/>
      <c r="AC129" s="39"/>
      <c r="AD129" s="39"/>
    </row>
    <row r="130" spans="1:30" s="37" customFormat="1" ht="12" x14ac:dyDescent="0.2">
      <c r="A130" s="54"/>
      <c r="B130" s="54" t="s">
        <v>111</v>
      </c>
      <c r="C130" s="54"/>
      <c r="D130" s="55" t="s">
        <v>121</v>
      </c>
      <c r="E130" s="39">
        <v>0</v>
      </c>
      <c r="F130" s="39">
        <v>0</v>
      </c>
      <c r="G130" s="39">
        <v>0</v>
      </c>
      <c r="H130" s="39">
        <v>0</v>
      </c>
      <c r="I130" s="39">
        <v>0</v>
      </c>
      <c r="J130" s="39">
        <v>0</v>
      </c>
      <c r="K130" s="39">
        <v>0</v>
      </c>
      <c r="L130" s="39">
        <v>0</v>
      </c>
      <c r="M130" s="39">
        <v>0</v>
      </c>
      <c r="N130" s="39">
        <v>0</v>
      </c>
      <c r="O130" s="39">
        <v>0</v>
      </c>
      <c r="P130" s="39">
        <v>0</v>
      </c>
      <c r="Q130" s="44"/>
      <c r="R130" s="41"/>
      <c r="S130" s="354">
        <f t="shared" si="91"/>
        <v>0</v>
      </c>
      <c r="T130" s="41"/>
      <c r="U130" s="362"/>
      <c r="V130" s="41"/>
      <c r="W130" s="362"/>
      <c r="X130" s="362"/>
      <c r="Y130" s="41"/>
      <c r="Z130" s="362"/>
      <c r="AA130" s="362"/>
      <c r="AB130" s="41"/>
      <c r="AC130" s="39"/>
      <c r="AD130" s="39"/>
    </row>
    <row r="131" spans="1:30" s="37" customFormat="1" ht="12" x14ac:dyDescent="0.2">
      <c r="A131" s="54"/>
      <c r="B131" s="54" t="s">
        <v>111</v>
      </c>
      <c r="C131" s="54" t="s">
        <v>122</v>
      </c>
      <c r="D131" s="55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44"/>
      <c r="R131" s="41"/>
      <c r="S131" s="354"/>
      <c r="T131" s="41"/>
      <c r="U131" s="362"/>
      <c r="V131" s="41"/>
      <c r="W131" s="362"/>
      <c r="X131" s="362"/>
      <c r="Y131" s="41"/>
      <c r="Z131" s="362"/>
      <c r="AA131" s="362"/>
      <c r="AB131" s="41"/>
      <c r="AC131" s="39"/>
      <c r="AD131" s="39"/>
    </row>
    <row r="132" spans="1:30" s="37" customFormat="1" ht="12" x14ac:dyDescent="0.2">
      <c r="A132" s="54"/>
      <c r="B132" s="54" t="s">
        <v>111</v>
      </c>
      <c r="C132" s="54"/>
      <c r="D132" s="55" t="s">
        <v>123</v>
      </c>
      <c r="E132" s="39">
        <v>0</v>
      </c>
      <c r="F132" s="39">
        <v>0</v>
      </c>
      <c r="G132" s="39">
        <v>0</v>
      </c>
      <c r="H132" s="39">
        <v>0</v>
      </c>
      <c r="I132" s="39">
        <v>0</v>
      </c>
      <c r="J132" s="39">
        <v>0</v>
      </c>
      <c r="K132" s="39">
        <v>0</v>
      </c>
      <c r="L132" s="39">
        <v>0</v>
      </c>
      <c r="M132" s="39">
        <v>0</v>
      </c>
      <c r="N132" s="39">
        <v>0</v>
      </c>
      <c r="O132" s="39">
        <v>0</v>
      </c>
      <c r="P132" s="39">
        <v>0</v>
      </c>
      <c r="Q132" s="44"/>
      <c r="R132" s="41"/>
      <c r="S132" s="354">
        <f t="shared" si="91"/>
        <v>0</v>
      </c>
      <c r="T132" s="41"/>
      <c r="U132" s="362"/>
      <c r="V132" s="41"/>
      <c r="W132" s="362"/>
      <c r="X132" s="362"/>
      <c r="Y132" s="41"/>
      <c r="Z132" s="362"/>
      <c r="AA132" s="362"/>
      <c r="AB132" s="41"/>
      <c r="AC132" s="39"/>
      <c r="AD132" s="39"/>
    </row>
    <row r="133" spans="1:30" s="37" customFormat="1" ht="12" x14ac:dyDescent="0.2">
      <c r="A133" s="54"/>
      <c r="B133" s="54"/>
      <c r="C133" s="54"/>
      <c r="D133" s="54" t="s">
        <v>124</v>
      </c>
      <c r="E133" s="39">
        <v>0</v>
      </c>
      <c r="F133" s="39">
        <v>0</v>
      </c>
      <c r="G133" s="39">
        <v>0</v>
      </c>
      <c r="H133" s="39">
        <v>0</v>
      </c>
      <c r="I133" s="39">
        <v>0</v>
      </c>
      <c r="J133" s="39">
        <v>0</v>
      </c>
      <c r="K133" s="39">
        <v>0</v>
      </c>
      <c r="L133" s="39">
        <v>0</v>
      </c>
      <c r="M133" s="39">
        <v>0</v>
      </c>
      <c r="N133" s="39">
        <v>0</v>
      </c>
      <c r="O133" s="39">
        <v>0</v>
      </c>
      <c r="P133" s="39">
        <v>0</v>
      </c>
      <c r="Q133" s="44"/>
      <c r="R133" s="41"/>
      <c r="S133" s="354">
        <f t="shared" si="91"/>
        <v>0</v>
      </c>
      <c r="T133" s="41"/>
      <c r="U133" s="362"/>
      <c r="V133" s="41"/>
      <c r="W133" s="362"/>
      <c r="X133" s="362"/>
      <c r="Y133" s="41"/>
      <c r="Z133" s="362"/>
      <c r="AA133" s="362"/>
      <c r="AB133" s="41"/>
      <c r="AC133" s="39"/>
      <c r="AD133" s="39"/>
    </row>
    <row r="134" spans="1:30" s="37" customFormat="1" ht="12" x14ac:dyDescent="0.2">
      <c r="A134" s="54"/>
      <c r="B134" s="54"/>
      <c r="C134" s="54" t="s">
        <v>125</v>
      </c>
      <c r="D134" s="54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44"/>
      <c r="R134" s="41"/>
      <c r="S134" s="354"/>
      <c r="T134" s="41"/>
      <c r="U134" s="362"/>
      <c r="V134" s="41"/>
      <c r="W134" s="362"/>
      <c r="X134" s="362"/>
      <c r="Y134" s="41"/>
      <c r="Z134" s="362"/>
      <c r="AA134" s="362"/>
      <c r="AB134" s="41"/>
      <c r="AC134" s="39"/>
      <c r="AD134" s="39"/>
    </row>
    <row r="135" spans="1:30" s="37" customFormat="1" ht="12" x14ac:dyDescent="0.2">
      <c r="A135" s="54"/>
      <c r="B135" s="54"/>
      <c r="C135" s="54"/>
      <c r="D135" s="54" t="s">
        <v>129</v>
      </c>
      <c r="E135" s="39">
        <v>0</v>
      </c>
      <c r="F135" s="39">
        <v>0</v>
      </c>
      <c r="G135" s="39">
        <v>0</v>
      </c>
      <c r="H135" s="39">
        <v>0</v>
      </c>
      <c r="I135" s="39">
        <v>0</v>
      </c>
      <c r="J135" s="39">
        <v>0</v>
      </c>
      <c r="K135" s="39">
        <v>0</v>
      </c>
      <c r="L135" s="39">
        <v>0</v>
      </c>
      <c r="M135" s="39">
        <v>0</v>
      </c>
      <c r="N135" s="39">
        <v>0</v>
      </c>
      <c r="O135" s="39">
        <v>0</v>
      </c>
      <c r="P135" s="39">
        <v>0</v>
      </c>
      <c r="Q135" s="44"/>
      <c r="R135" s="41"/>
      <c r="S135" s="354">
        <f t="shared" si="91"/>
        <v>0</v>
      </c>
      <c r="T135" s="41"/>
      <c r="U135" s="362"/>
      <c r="V135" s="41"/>
      <c r="W135" s="362"/>
      <c r="X135" s="362"/>
      <c r="Y135" s="41"/>
      <c r="Z135" s="362"/>
      <c r="AA135" s="362"/>
      <c r="AB135" s="41"/>
      <c r="AC135" s="39"/>
      <c r="AD135" s="39"/>
    </row>
    <row r="136" spans="1:30" s="37" customFormat="1" ht="12" x14ac:dyDescent="0.2">
      <c r="A136" s="54"/>
      <c r="B136" s="54"/>
      <c r="C136" s="54"/>
      <c r="D136" s="54" t="s">
        <v>130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  <c r="P136" s="42">
        <v>0</v>
      </c>
      <c r="Q136" s="47"/>
      <c r="R136" s="41"/>
      <c r="S136" s="354">
        <f t="shared" si="91"/>
        <v>0</v>
      </c>
      <c r="T136" s="41"/>
      <c r="U136" s="362"/>
      <c r="V136" s="41"/>
      <c r="W136" s="362"/>
      <c r="X136" s="362"/>
      <c r="Y136" s="41"/>
      <c r="Z136" s="362"/>
      <c r="AA136" s="362"/>
      <c r="AB136" s="41"/>
      <c r="AC136" s="39"/>
      <c r="AD136" s="39"/>
    </row>
    <row r="137" spans="1:30" s="37" customFormat="1" ht="12" x14ac:dyDescent="0.2">
      <c r="A137" s="54"/>
      <c r="B137" s="54"/>
      <c r="C137" s="54"/>
      <c r="D137" s="54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41"/>
      <c r="S137" s="277"/>
      <c r="T137" s="41"/>
      <c r="U137" s="362"/>
      <c r="V137" s="41"/>
      <c r="W137" s="362"/>
      <c r="X137" s="362"/>
      <c r="Y137" s="41"/>
      <c r="Z137" s="362"/>
      <c r="AA137" s="362"/>
      <c r="AB137" s="41"/>
      <c r="AC137" s="39"/>
      <c r="AD137" s="39"/>
    </row>
    <row r="138" spans="1:30" s="37" customFormat="1" ht="12" x14ac:dyDescent="0.2">
      <c r="A138" s="54"/>
      <c r="B138" s="54" t="s">
        <v>126</v>
      </c>
      <c r="C138" s="54"/>
      <c r="D138" s="54"/>
      <c r="E138" s="39">
        <f>SUM(E120:E136)</f>
        <v>5604.1721182916663</v>
      </c>
      <c r="F138" s="39">
        <f>SUM(F120:F136)</f>
        <v>-47794.337881708314</v>
      </c>
      <c r="G138" s="39">
        <f t="shared" ref="G138:O138" si="93">SUM(G120:G136)</f>
        <v>-41922.294881708309</v>
      </c>
      <c r="H138" s="39">
        <f t="shared" si="93"/>
        <v>20651.295118291659</v>
      </c>
      <c r="I138" s="39">
        <f t="shared" si="93"/>
        <v>-30487.159881708329</v>
      </c>
      <c r="J138" s="39">
        <f t="shared" si="93"/>
        <v>-4471.3148817083274</v>
      </c>
      <c r="K138" s="39">
        <f t="shared" si="93"/>
        <v>49172.665118291654</v>
      </c>
      <c r="L138" s="39">
        <f t="shared" si="93"/>
        <v>-26663.11988170832</v>
      </c>
      <c r="M138" s="39">
        <f t="shared" si="93"/>
        <v>-5716.8648817083158</v>
      </c>
      <c r="N138" s="39">
        <f t="shared" si="93"/>
        <v>44373.485118291661</v>
      </c>
      <c r="O138" s="39">
        <f t="shared" si="93"/>
        <v>3743.2971182916663</v>
      </c>
      <c r="P138" s="39">
        <f>SUM(P120:P136)</f>
        <v>52068.417318291613</v>
      </c>
      <c r="Q138" s="39"/>
      <c r="R138" s="41"/>
      <c r="S138" s="277"/>
      <c r="T138" s="41"/>
      <c r="U138" s="362"/>
      <c r="V138" s="41"/>
      <c r="W138" s="362"/>
      <c r="X138" s="362"/>
      <c r="Y138" s="41"/>
      <c r="Z138" s="362"/>
      <c r="AA138" s="362"/>
      <c r="AB138" s="41"/>
      <c r="AC138" s="39"/>
      <c r="AD138" s="39"/>
    </row>
    <row r="139" spans="1:30" s="37" customFormat="1" ht="12" x14ac:dyDescent="0.2">
      <c r="A139" s="54"/>
      <c r="B139" s="54" t="s">
        <v>127</v>
      </c>
      <c r="C139" s="54"/>
      <c r="D139" s="54"/>
      <c r="E139" s="42">
        <v>0</v>
      </c>
      <c r="F139" s="42">
        <f>E141</f>
        <v>5604.1721182916663</v>
      </c>
      <c r="G139" s="42">
        <f t="shared" ref="G139:P139" si="94">F141</f>
        <v>-42190.165763416648</v>
      </c>
      <c r="H139" s="42">
        <f t="shared" si="94"/>
        <v>-84112.460645124956</v>
      </c>
      <c r="I139" s="42">
        <f t="shared" si="94"/>
        <v>-63461.165526833298</v>
      </c>
      <c r="J139" s="42">
        <f t="shared" si="94"/>
        <v>-93948.325408541627</v>
      </c>
      <c r="K139" s="42">
        <f t="shared" si="94"/>
        <v>-98419.640290249954</v>
      </c>
      <c r="L139" s="42">
        <f t="shared" si="94"/>
        <v>-49246.9751719583</v>
      </c>
      <c r="M139" s="42">
        <f t="shared" si="94"/>
        <v>-75910.095053666621</v>
      </c>
      <c r="N139" s="42">
        <f t="shared" si="94"/>
        <v>-81626.959935374936</v>
      </c>
      <c r="O139" s="42">
        <f t="shared" si="94"/>
        <v>-37253.474817083275</v>
      </c>
      <c r="P139" s="42">
        <f t="shared" si="94"/>
        <v>-33510.177698791609</v>
      </c>
      <c r="Q139" s="39"/>
      <c r="R139" s="41"/>
      <c r="S139" s="277"/>
      <c r="T139" s="41"/>
      <c r="U139" s="362"/>
      <c r="V139" s="41"/>
      <c r="W139" s="362"/>
      <c r="X139" s="362"/>
      <c r="Y139" s="41"/>
      <c r="Z139" s="362"/>
      <c r="AA139" s="362"/>
      <c r="AB139" s="41"/>
      <c r="AC139" s="39"/>
      <c r="AD139" s="39"/>
    </row>
    <row r="140" spans="1:30" s="37" customFormat="1" ht="12" x14ac:dyDescent="0.2">
      <c r="A140" s="54"/>
      <c r="B140" s="54"/>
      <c r="C140" s="54"/>
      <c r="D140" s="54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41"/>
      <c r="S140" s="277"/>
      <c r="T140" s="41"/>
      <c r="U140" s="362"/>
      <c r="V140" s="41"/>
      <c r="W140" s="362"/>
      <c r="X140" s="362"/>
      <c r="Y140" s="41"/>
      <c r="Z140" s="362"/>
      <c r="AA140" s="362"/>
      <c r="AB140" s="41"/>
      <c r="AC140" s="39"/>
      <c r="AD140" s="39"/>
    </row>
    <row r="141" spans="1:30" s="37" customFormat="1" ht="12.75" thickBot="1" x14ac:dyDescent="0.25">
      <c r="A141" s="53"/>
      <c r="B141" s="53" t="s">
        <v>128</v>
      </c>
      <c r="C141" s="53"/>
      <c r="D141" s="53"/>
      <c r="E141" s="194">
        <f t="shared" ref="E141:O141" si="95">SUM(E138:E140)</f>
        <v>5604.1721182916663</v>
      </c>
      <c r="F141" s="194">
        <f t="shared" si="95"/>
        <v>-42190.165763416648</v>
      </c>
      <c r="G141" s="194">
        <f t="shared" si="95"/>
        <v>-84112.460645124956</v>
      </c>
      <c r="H141" s="194">
        <f t="shared" si="95"/>
        <v>-63461.165526833298</v>
      </c>
      <c r="I141" s="194">
        <f>SUM(I138:I140)</f>
        <v>-93948.325408541627</v>
      </c>
      <c r="J141" s="194">
        <f t="shared" si="95"/>
        <v>-98419.640290249954</v>
      </c>
      <c r="K141" s="194">
        <f>SUM(K138:K140)</f>
        <v>-49246.9751719583</v>
      </c>
      <c r="L141" s="194">
        <f t="shared" si="95"/>
        <v>-75910.095053666621</v>
      </c>
      <c r="M141" s="194">
        <f t="shared" si="95"/>
        <v>-81626.959935374936</v>
      </c>
      <c r="N141" s="194">
        <f t="shared" si="95"/>
        <v>-37253.474817083275</v>
      </c>
      <c r="O141" s="194">
        <f t="shared" si="95"/>
        <v>-33510.177698791609</v>
      </c>
      <c r="P141" s="194">
        <f>SUM(P138:P140)</f>
        <v>18558.239619500004</v>
      </c>
      <c r="Q141" s="39"/>
      <c r="R141" s="41"/>
      <c r="S141" s="277"/>
      <c r="T141" s="41"/>
      <c r="U141" s="362"/>
      <c r="V141" s="41"/>
      <c r="W141" s="362"/>
      <c r="X141" s="362"/>
      <c r="Y141" s="41"/>
      <c r="Z141" s="362"/>
      <c r="AA141" s="362"/>
      <c r="AB141" s="41"/>
      <c r="AC141" s="39"/>
      <c r="AD141" s="39"/>
    </row>
    <row r="142" spans="1:30" s="37" customFormat="1" ht="12.75" thickTop="1" x14ac:dyDescent="0.2">
      <c r="B142" s="37" t="s">
        <v>568</v>
      </c>
      <c r="C142" s="38"/>
      <c r="E142" s="649">
        <f>$S$115*0.1</f>
        <v>217667.29955805</v>
      </c>
      <c r="F142" s="649">
        <f t="shared" ref="F142:P142" si="96">$S$115*0.1</f>
        <v>217667.29955805</v>
      </c>
      <c r="G142" s="649">
        <f t="shared" si="96"/>
        <v>217667.29955805</v>
      </c>
      <c r="H142" s="649">
        <f t="shared" si="96"/>
        <v>217667.29955805</v>
      </c>
      <c r="I142" s="649">
        <f t="shared" si="96"/>
        <v>217667.29955805</v>
      </c>
      <c r="J142" s="649">
        <f t="shared" si="96"/>
        <v>217667.29955805</v>
      </c>
      <c r="K142" s="649">
        <f t="shared" si="96"/>
        <v>217667.29955805</v>
      </c>
      <c r="L142" s="649">
        <f t="shared" si="96"/>
        <v>217667.29955805</v>
      </c>
      <c r="M142" s="649">
        <f t="shared" si="96"/>
        <v>217667.29955805</v>
      </c>
      <c r="N142" s="649">
        <f t="shared" si="96"/>
        <v>217667.29955805</v>
      </c>
      <c r="O142" s="649">
        <f t="shared" si="96"/>
        <v>217667.29955805</v>
      </c>
      <c r="P142" s="649">
        <f t="shared" si="96"/>
        <v>217667.29955805</v>
      </c>
      <c r="Q142" s="39"/>
      <c r="R142" s="41"/>
      <c r="S142" s="277"/>
      <c r="T142" s="41"/>
      <c r="U142" s="362"/>
      <c r="V142" s="41"/>
      <c r="W142" s="362"/>
      <c r="X142" s="362"/>
      <c r="Y142" s="41"/>
      <c r="Z142" s="362"/>
      <c r="AA142" s="362"/>
      <c r="AB142" s="41"/>
      <c r="AC142" s="39"/>
      <c r="AD142" s="39"/>
    </row>
    <row r="143" spans="1:30" s="37" customFormat="1" ht="12" x14ac:dyDescent="0.2">
      <c r="C143" s="38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41"/>
      <c r="S143" s="277"/>
      <c r="T143" s="41"/>
      <c r="U143" s="362"/>
      <c r="V143" s="41"/>
      <c r="W143" s="362"/>
      <c r="X143" s="362"/>
      <c r="Y143" s="41"/>
      <c r="Z143" s="362"/>
      <c r="AA143" s="362"/>
      <c r="AB143" s="41"/>
      <c r="AC143" s="39"/>
      <c r="AD143" s="39"/>
    </row>
    <row r="144" spans="1:30" s="37" customFormat="1" ht="12" x14ac:dyDescent="0.2">
      <c r="C144" s="38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41"/>
      <c r="S144" s="277"/>
      <c r="T144" s="41"/>
      <c r="U144" s="362"/>
      <c r="V144" s="41"/>
      <c r="W144" s="362"/>
      <c r="X144" s="362"/>
      <c r="Y144" s="41"/>
      <c r="Z144" s="362"/>
      <c r="AA144" s="362"/>
      <c r="AB144" s="41"/>
      <c r="AC144" s="39"/>
      <c r="AD144" s="39"/>
    </row>
    <row r="145" spans="3:30" s="37" customFormat="1" ht="12" x14ac:dyDescent="0.2">
      <c r="C145" s="38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41"/>
      <c r="S145" s="277"/>
      <c r="T145" s="41"/>
      <c r="U145" s="362"/>
      <c r="V145" s="41"/>
      <c r="W145" s="362"/>
      <c r="X145" s="362"/>
      <c r="Y145" s="41"/>
      <c r="Z145" s="362"/>
      <c r="AA145" s="362"/>
      <c r="AB145" s="41"/>
      <c r="AC145" s="39"/>
      <c r="AD145" s="39"/>
    </row>
    <row r="146" spans="3:30" s="37" customFormat="1" ht="12" x14ac:dyDescent="0.2">
      <c r="C146" s="38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41"/>
      <c r="S146" s="277"/>
      <c r="T146" s="41"/>
      <c r="U146" s="362"/>
      <c r="V146" s="41"/>
      <c r="W146" s="362"/>
      <c r="X146" s="362"/>
      <c r="Y146" s="41"/>
      <c r="Z146" s="362"/>
      <c r="AA146" s="362"/>
      <c r="AB146" s="41"/>
      <c r="AC146" s="39"/>
      <c r="AD146" s="39"/>
    </row>
    <row r="147" spans="3:30" s="37" customFormat="1" ht="12" x14ac:dyDescent="0.2">
      <c r="C147" s="38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41"/>
      <c r="S147" s="277"/>
      <c r="T147" s="41"/>
      <c r="U147" s="362"/>
      <c r="V147" s="41"/>
      <c r="W147" s="362"/>
      <c r="X147" s="362"/>
      <c r="Y147" s="41"/>
      <c r="Z147" s="362"/>
      <c r="AA147" s="362"/>
      <c r="AB147" s="41"/>
      <c r="AC147" s="39"/>
      <c r="AD147" s="39"/>
    </row>
    <row r="148" spans="3:30" s="37" customFormat="1" ht="12" x14ac:dyDescent="0.2">
      <c r="C148" s="38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41"/>
      <c r="S148" s="277"/>
      <c r="T148" s="41"/>
      <c r="U148" s="362"/>
      <c r="V148" s="41"/>
      <c r="W148" s="362"/>
      <c r="X148" s="362"/>
      <c r="Y148" s="41"/>
      <c r="Z148" s="362"/>
      <c r="AA148" s="362"/>
      <c r="AB148" s="41"/>
      <c r="AC148" s="39"/>
      <c r="AD148" s="39"/>
    </row>
    <row r="149" spans="3:30" s="37" customFormat="1" ht="12" x14ac:dyDescent="0.2">
      <c r="C149" s="38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41"/>
      <c r="S149" s="277"/>
      <c r="T149" s="41"/>
      <c r="U149" s="362"/>
      <c r="V149" s="41"/>
      <c r="W149" s="362"/>
      <c r="X149" s="362"/>
      <c r="Y149" s="41"/>
      <c r="Z149" s="362"/>
      <c r="AA149" s="362"/>
      <c r="AB149" s="41"/>
      <c r="AC149" s="39"/>
      <c r="AD149" s="39"/>
    </row>
    <row r="150" spans="3:30" s="37" customFormat="1" ht="12" x14ac:dyDescent="0.2">
      <c r="C150" s="38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41"/>
      <c r="S150" s="277"/>
      <c r="T150" s="41"/>
      <c r="U150" s="362"/>
      <c r="V150" s="41"/>
      <c r="W150" s="362"/>
      <c r="X150" s="362"/>
      <c r="Y150" s="41"/>
      <c r="Z150" s="362"/>
      <c r="AA150" s="362"/>
      <c r="AB150" s="41"/>
      <c r="AC150" s="39"/>
      <c r="AD150" s="39"/>
    </row>
    <row r="151" spans="3:30" s="37" customFormat="1" ht="12" x14ac:dyDescent="0.2">
      <c r="C151" s="38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41"/>
      <c r="S151" s="277"/>
      <c r="T151" s="41"/>
      <c r="U151" s="362"/>
      <c r="V151" s="41"/>
      <c r="W151" s="362"/>
      <c r="X151" s="362"/>
      <c r="Y151" s="41"/>
      <c r="Z151" s="362"/>
      <c r="AA151" s="362"/>
      <c r="AB151" s="41"/>
      <c r="AC151" s="39"/>
      <c r="AD151" s="39"/>
    </row>
    <row r="152" spans="3:30" s="37" customFormat="1" ht="12" x14ac:dyDescent="0.2">
      <c r="C152" s="38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41"/>
      <c r="S152" s="277"/>
      <c r="T152" s="41"/>
      <c r="U152" s="362"/>
      <c r="V152" s="41"/>
      <c r="W152" s="362"/>
      <c r="X152" s="362"/>
      <c r="Y152" s="41"/>
      <c r="Z152" s="362"/>
      <c r="AA152" s="362"/>
      <c r="AB152" s="41"/>
      <c r="AC152" s="39"/>
      <c r="AD152" s="39"/>
    </row>
    <row r="153" spans="3:30" s="37" customFormat="1" ht="12" x14ac:dyDescent="0.2">
      <c r="C153" s="38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41"/>
      <c r="S153" s="277"/>
      <c r="T153" s="41"/>
      <c r="U153" s="362"/>
      <c r="V153" s="41"/>
      <c r="W153" s="362"/>
      <c r="X153" s="362"/>
      <c r="Y153" s="41"/>
      <c r="Z153" s="362"/>
      <c r="AA153" s="362"/>
      <c r="AB153" s="41"/>
      <c r="AC153" s="39"/>
      <c r="AD153" s="39"/>
    </row>
    <row r="154" spans="3:30" s="37" customFormat="1" ht="12" x14ac:dyDescent="0.2">
      <c r="C154" s="38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41"/>
      <c r="S154" s="277"/>
      <c r="T154" s="41"/>
      <c r="U154" s="362"/>
      <c r="V154" s="41"/>
      <c r="W154" s="362"/>
      <c r="X154" s="362"/>
      <c r="Y154" s="41"/>
      <c r="Z154" s="362"/>
      <c r="AA154" s="362"/>
      <c r="AB154" s="41"/>
      <c r="AC154" s="39"/>
      <c r="AD154" s="39"/>
    </row>
    <row r="155" spans="3:30" s="37" customFormat="1" ht="12" x14ac:dyDescent="0.2">
      <c r="C155" s="38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41"/>
      <c r="S155" s="277"/>
      <c r="T155" s="41"/>
      <c r="U155" s="362"/>
      <c r="V155" s="41"/>
      <c r="W155" s="362"/>
      <c r="X155" s="362"/>
      <c r="Y155" s="41"/>
      <c r="Z155" s="362"/>
      <c r="AA155" s="362"/>
      <c r="AB155" s="41"/>
      <c r="AC155" s="39"/>
      <c r="AD155" s="39"/>
    </row>
    <row r="156" spans="3:30" s="37" customFormat="1" ht="12" x14ac:dyDescent="0.2">
      <c r="C156" s="38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41"/>
      <c r="S156" s="277"/>
      <c r="T156" s="41"/>
      <c r="U156" s="362"/>
      <c r="V156" s="41"/>
      <c r="W156" s="362"/>
      <c r="X156" s="362"/>
      <c r="Y156" s="41"/>
      <c r="Z156" s="362"/>
      <c r="AA156" s="362"/>
      <c r="AB156" s="41"/>
      <c r="AC156" s="39"/>
      <c r="AD156" s="39"/>
    </row>
    <row r="157" spans="3:30" s="37" customFormat="1" ht="12" x14ac:dyDescent="0.2">
      <c r="C157" s="38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41"/>
      <c r="S157" s="277"/>
      <c r="T157" s="41"/>
      <c r="U157" s="362"/>
      <c r="V157" s="41"/>
      <c r="W157" s="362"/>
      <c r="X157" s="362"/>
      <c r="Y157" s="41"/>
      <c r="Z157" s="362"/>
      <c r="AA157" s="362"/>
      <c r="AB157" s="41"/>
      <c r="AC157" s="39"/>
      <c r="AD157" s="39"/>
    </row>
    <row r="158" spans="3:30" s="37" customFormat="1" ht="12" x14ac:dyDescent="0.2">
      <c r="C158" s="38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41"/>
      <c r="S158" s="277"/>
      <c r="T158" s="41"/>
      <c r="U158" s="362"/>
      <c r="V158" s="41"/>
      <c r="W158" s="362"/>
      <c r="X158" s="362"/>
      <c r="Y158" s="41"/>
      <c r="Z158" s="362"/>
      <c r="AA158" s="362"/>
      <c r="AB158" s="41"/>
      <c r="AC158" s="39"/>
      <c r="AD158" s="39"/>
    </row>
    <row r="159" spans="3:30" s="37" customFormat="1" ht="12" x14ac:dyDescent="0.2">
      <c r="C159" s="38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41"/>
      <c r="S159" s="277"/>
      <c r="T159" s="41"/>
      <c r="U159" s="362"/>
      <c r="V159" s="41"/>
      <c r="W159" s="362"/>
      <c r="X159" s="362"/>
      <c r="Y159" s="41"/>
      <c r="Z159" s="362"/>
      <c r="AA159" s="362"/>
      <c r="AB159" s="41"/>
      <c r="AC159" s="39"/>
      <c r="AD159" s="39"/>
    </row>
    <row r="160" spans="3:30" s="37" customFormat="1" ht="12" x14ac:dyDescent="0.2">
      <c r="C160" s="38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41"/>
      <c r="S160" s="277"/>
      <c r="T160" s="41"/>
      <c r="U160" s="362"/>
      <c r="V160" s="41"/>
      <c r="W160" s="362"/>
      <c r="X160" s="362"/>
      <c r="Y160" s="41"/>
      <c r="Z160" s="362"/>
      <c r="AA160" s="362"/>
      <c r="AB160" s="41"/>
      <c r="AC160" s="39"/>
      <c r="AD160" s="39"/>
    </row>
    <row r="161" spans="3:30" s="37" customFormat="1" ht="12" x14ac:dyDescent="0.2">
      <c r="C161" s="38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41"/>
      <c r="S161" s="277"/>
      <c r="T161" s="41"/>
      <c r="U161" s="362"/>
      <c r="V161" s="41"/>
      <c r="W161" s="362"/>
      <c r="X161" s="362"/>
      <c r="Y161" s="41"/>
      <c r="Z161" s="362"/>
      <c r="AA161" s="362"/>
      <c r="AB161" s="41"/>
      <c r="AC161" s="39"/>
      <c r="AD161" s="39"/>
    </row>
    <row r="162" spans="3:30" s="37" customFormat="1" ht="12" x14ac:dyDescent="0.2">
      <c r="C162" s="38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41"/>
      <c r="S162" s="277"/>
      <c r="T162" s="41"/>
      <c r="U162" s="362"/>
      <c r="V162" s="41"/>
      <c r="W162" s="362"/>
      <c r="X162" s="362"/>
      <c r="Y162" s="41"/>
      <c r="Z162" s="362"/>
      <c r="AA162" s="362"/>
      <c r="AB162" s="41"/>
      <c r="AC162" s="39"/>
      <c r="AD162" s="39"/>
    </row>
    <row r="163" spans="3:30" s="37" customFormat="1" ht="12" x14ac:dyDescent="0.2">
      <c r="C163" s="38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41"/>
      <c r="S163" s="277"/>
      <c r="T163" s="41"/>
      <c r="U163" s="362"/>
      <c r="V163" s="41"/>
      <c r="W163" s="362"/>
      <c r="X163" s="362"/>
      <c r="Y163" s="41"/>
      <c r="Z163" s="362"/>
      <c r="AA163" s="362"/>
      <c r="AB163" s="41"/>
      <c r="AC163" s="39"/>
      <c r="AD163" s="39"/>
    </row>
    <row r="164" spans="3:30" s="37" customFormat="1" ht="12" x14ac:dyDescent="0.2">
      <c r="C164" s="38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41"/>
      <c r="S164" s="277"/>
      <c r="T164" s="41"/>
      <c r="U164" s="362"/>
      <c r="V164" s="41"/>
      <c r="W164" s="362"/>
      <c r="X164" s="362"/>
      <c r="Y164" s="41"/>
      <c r="Z164" s="362"/>
      <c r="AA164" s="362"/>
      <c r="AB164" s="41"/>
      <c r="AC164" s="39"/>
      <c r="AD164" s="39"/>
    </row>
    <row r="165" spans="3:30" s="37" customFormat="1" ht="12" x14ac:dyDescent="0.2">
      <c r="C165" s="38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41"/>
      <c r="S165" s="277"/>
      <c r="T165" s="41"/>
      <c r="U165" s="362"/>
      <c r="V165" s="41"/>
      <c r="W165" s="362"/>
      <c r="X165" s="362"/>
      <c r="Y165" s="41"/>
      <c r="Z165" s="362"/>
      <c r="AA165" s="362"/>
      <c r="AB165" s="41"/>
      <c r="AC165" s="39"/>
      <c r="AD165" s="39"/>
    </row>
    <row r="166" spans="3:30" s="37" customFormat="1" ht="12" x14ac:dyDescent="0.2">
      <c r="C166" s="38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41"/>
      <c r="S166" s="277"/>
      <c r="T166" s="41"/>
      <c r="U166" s="362"/>
      <c r="V166" s="41"/>
      <c r="W166" s="362"/>
      <c r="X166" s="362"/>
      <c r="Y166" s="41"/>
      <c r="Z166" s="362"/>
      <c r="AA166" s="362"/>
      <c r="AB166" s="41"/>
      <c r="AC166" s="39"/>
      <c r="AD166" s="39"/>
    </row>
    <row r="167" spans="3:30" s="37" customFormat="1" ht="12" x14ac:dyDescent="0.2">
      <c r="C167" s="38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41"/>
      <c r="S167" s="277"/>
      <c r="T167" s="41"/>
      <c r="U167" s="362"/>
      <c r="V167" s="41"/>
      <c r="W167" s="362"/>
      <c r="X167" s="362"/>
      <c r="Y167" s="41"/>
      <c r="Z167" s="362"/>
      <c r="AA167" s="362"/>
      <c r="AB167" s="41"/>
      <c r="AC167" s="39"/>
      <c r="AD167" s="39"/>
    </row>
    <row r="168" spans="3:30" s="37" customFormat="1" ht="12" x14ac:dyDescent="0.2">
      <c r="C168" s="38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41"/>
      <c r="S168" s="277"/>
      <c r="T168" s="41"/>
      <c r="U168" s="362"/>
      <c r="V168" s="41"/>
      <c r="W168" s="362"/>
      <c r="X168" s="362"/>
      <c r="Y168" s="41"/>
      <c r="Z168" s="362"/>
      <c r="AA168" s="362"/>
      <c r="AB168" s="41"/>
      <c r="AC168" s="39"/>
      <c r="AD168" s="39"/>
    </row>
    <row r="169" spans="3:30" s="37" customFormat="1" ht="12" x14ac:dyDescent="0.2">
      <c r="C169" s="38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41"/>
      <c r="S169" s="277"/>
      <c r="T169" s="41"/>
      <c r="U169" s="362"/>
      <c r="V169" s="41"/>
      <c r="W169" s="362"/>
      <c r="X169" s="362"/>
      <c r="Y169" s="41"/>
      <c r="Z169" s="362"/>
      <c r="AA169" s="362"/>
      <c r="AB169" s="41"/>
      <c r="AC169" s="39"/>
      <c r="AD169" s="39"/>
    </row>
    <row r="170" spans="3:30" s="37" customFormat="1" ht="12" x14ac:dyDescent="0.2">
      <c r="C170" s="38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41"/>
      <c r="S170" s="277"/>
      <c r="T170" s="41"/>
      <c r="U170" s="362"/>
      <c r="V170" s="41"/>
      <c r="W170" s="362"/>
      <c r="X170" s="362"/>
      <c r="Y170" s="41"/>
      <c r="Z170" s="362"/>
      <c r="AA170" s="362"/>
      <c r="AB170" s="41"/>
      <c r="AC170" s="39"/>
      <c r="AD170" s="39"/>
    </row>
    <row r="171" spans="3:30" s="37" customFormat="1" ht="12" x14ac:dyDescent="0.2">
      <c r="C171" s="38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41"/>
      <c r="S171" s="277"/>
      <c r="T171" s="41"/>
      <c r="U171" s="362"/>
      <c r="V171" s="41"/>
      <c r="W171" s="362"/>
      <c r="X171" s="362"/>
      <c r="Y171" s="41"/>
      <c r="Z171" s="362"/>
      <c r="AA171" s="362"/>
      <c r="AB171" s="41"/>
      <c r="AC171" s="39"/>
      <c r="AD171" s="39"/>
    </row>
    <row r="172" spans="3:30" s="37" customFormat="1" ht="12" x14ac:dyDescent="0.2">
      <c r="C172" s="38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41"/>
      <c r="S172" s="277"/>
      <c r="T172" s="41"/>
      <c r="U172" s="362"/>
      <c r="V172" s="41"/>
      <c r="W172" s="362"/>
      <c r="X172" s="362"/>
      <c r="Y172" s="41"/>
      <c r="Z172" s="362"/>
      <c r="AA172" s="362"/>
      <c r="AB172" s="41"/>
      <c r="AC172" s="39"/>
      <c r="AD172" s="39"/>
    </row>
    <row r="173" spans="3:30" s="37" customFormat="1" ht="12" x14ac:dyDescent="0.2">
      <c r="C173" s="38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41"/>
      <c r="S173" s="277"/>
      <c r="T173" s="41"/>
      <c r="U173" s="362"/>
      <c r="V173" s="41"/>
      <c r="W173" s="362"/>
      <c r="X173" s="362"/>
      <c r="Y173" s="41"/>
      <c r="Z173" s="362"/>
      <c r="AA173" s="362"/>
      <c r="AB173" s="41"/>
      <c r="AC173" s="39"/>
      <c r="AD173" s="39"/>
    </row>
    <row r="174" spans="3:30" s="37" customFormat="1" ht="12" x14ac:dyDescent="0.2">
      <c r="C174" s="38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41"/>
      <c r="S174" s="277"/>
      <c r="T174" s="41"/>
      <c r="U174" s="362"/>
      <c r="V174" s="41"/>
      <c r="W174" s="362"/>
      <c r="X174" s="362"/>
      <c r="Y174" s="41"/>
      <c r="Z174" s="362"/>
      <c r="AA174" s="362"/>
      <c r="AB174" s="41"/>
      <c r="AC174" s="39"/>
      <c r="AD174" s="39"/>
    </row>
    <row r="175" spans="3:30" s="37" customFormat="1" ht="12" x14ac:dyDescent="0.2">
      <c r="C175" s="38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41"/>
      <c r="S175" s="277"/>
      <c r="T175" s="41"/>
      <c r="U175" s="362"/>
      <c r="V175" s="41"/>
      <c r="W175" s="362"/>
      <c r="X175" s="362"/>
      <c r="Y175" s="41"/>
      <c r="Z175" s="362"/>
      <c r="AA175" s="362"/>
      <c r="AB175" s="41"/>
      <c r="AC175" s="39"/>
      <c r="AD175" s="39"/>
    </row>
    <row r="176" spans="3:30" s="37" customFormat="1" ht="12" x14ac:dyDescent="0.2">
      <c r="C176" s="38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41"/>
      <c r="S176" s="277"/>
      <c r="T176" s="41"/>
      <c r="U176" s="362"/>
      <c r="V176" s="41"/>
      <c r="W176" s="362"/>
      <c r="X176" s="362"/>
      <c r="Y176" s="41"/>
      <c r="Z176" s="362"/>
      <c r="AA176" s="362"/>
      <c r="AB176" s="41"/>
      <c r="AC176" s="39"/>
      <c r="AD176" s="39"/>
    </row>
    <row r="177" spans="3:30" s="37" customFormat="1" ht="12" x14ac:dyDescent="0.2">
      <c r="C177" s="38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41"/>
      <c r="S177" s="277"/>
      <c r="T177" s="41"/>
      <c r="U177" s="362"/>
      <c r="V177" s="41"/>
      <c r="W177" s="362"/>
      <c r="X177" s="362"/>
      <c r="Y177" s="41"/>
      <c r="Z177" s="362"/>
      <c r="AA177" s="362"/>
      <c r="AB177" s="41"/>
      <c r="AC177" s="39"/>
      <c r="AD177" s="39"/>
    </row>
    <row r="178" spans="3:30" s="37" customFormat="1" ht="12" x14ac:dyDescent="0.2">
      <c r="C178" s="38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41"/>
      <c r="S178" s="277"/>
      <c r="T178" s="41"/>
      <c r="U178" s="362"/>
      <c r="V178" s="41"/>
      <c r="W178" s="362"/>
      <c r="X178" s="362"/>
      <c r="Y178" s="41"/>
      <c r="Z178" s="362"/>
      <c r="AA178" s="362"/>
      <c r="AB178" s="41"/>
      <c r="AC178" s="39"/>
      <c r="AD178" s="39"/>
    </row>
    <row r="179" spans="3:30" s="37" customFormat="1" ht="12" x14ac:dyDescent="0.2">
      <c r="C179" s="38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41"/>
      <c r="S179" s="277"/>
      <c r="T179" s="41"/>
      <c r="U179" s="362"/>
      <c r="V179" s="41"/>
      <c r="W179" s="362"/>
      <c r="X179" s="362"/>
      <c r="Y179" s="41"/>
      <c r="Z179" s="362"/>
      <c r="AA179" s="362"/>
      <c r="AB179" s="41"/>
      <c r="AC179" s="39"/>
      <c r="AD179" s="39"/>
    </row>
    <row r="180" spans="3:30" s="37" customFormat="1" ht="12" x14ac:dyDescent="0.2">
      <c r="C180" s="38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41"/>
      <c r="S180" s="277"/>
      <c r="T180" s="41"/>
      <c r="U180" s="362"/>
      <c r="V180" s="41"/>
      <c r="W180" s="362"/>
      <c r="X180" s="362"/>
      <c r="Y180" s="41"/>
      <c r="Z180" s="362"/>
      <c r="AA180" s="362"/>
      <c r="AB180" s="41"/>
      <c r="AC180" s="39"/>
      <c r="AD180" s="39"/>
    </row>
    <row r="181" spans="3:30" s="37" customFormat="1" ht="12" x14ac:dyDescent="0.2">
      <c r="C181" s="38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41"/>
      <c r="S181" s="277"/>
      <c r="T181" s="41"/>
      <c r="U181" s="362"/>
      <c r="V181" s="41"/>
      <c r="W181" s="362"/>
      <c r="X181" s="362"/>
      <c r="Y181" s="41"/>
      <c r="Z181" s="362"/>
      <c r="AA181" s="362"/>
      <c r="AB181" s="41"/>
      <c r="AC181" s="39"/>
      <c r="AD181" s="39"/>
    </row>
    <row r="182" spans="3:30" s="37" customFormat="1" ht="12" x14ac:dyDescent="0.2">
      <c r="C182" s="38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41"/>
      <c r="S182" s="277"/>
      <c r="T182" s="41"/>
      <c r="U182" s="362"/>
      <c r="V182" s="41"/>
      <c r="W182" s="362"/>
      <c r="X182" s="362"/>
      <c r="Y182" s="41"/>
      <c r="Z182" s="362"/>
      <c r="AA182" s="362"/>
      <c r="AB182" s="41"/>
      <c r="AC182" s="39"/>
      <c r="AD182" s="39"/>
    </row>
    <row r="183" spans="3:30" s="37" customFormat="1" ht="12" x14ac:dyDescent="0.2">
      <c r="C183" s="38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41"/>
      <c r="S183" s="277"/>
      <c r="T183" s="41"/>
      <c r="U183" s="362"/>
      <c r="V183" s="41"/>
      <c r="W183" s="362"/>
      <c r="X183" s="362"/>
      <c r="Y183" s="41"/>
      <c r="Z183" s="362"/>
      <c r="AA183" s="362"/>
      <c r="AB183" s="41"/>
      <c r="AC183" s="39"/>
      <c r="AD183" s="39"/>
    </row>
    <row r="184" spans="3:30" s="37" customFormat="1" ht="12" x14ac:dyDescent="0.2">
      <c r="C184" s="38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41"/>
      <c r="S184" s="277"/>
      <c r="T184" s="41"/>
      <c r="U184" s="362"/>
      <c r="V184" s="41"/>
      <c r="W184" s="362"/>
      <c r="X184" s="362"/>
      <c r="Y184" s="41"/>
      <c r="Z184" s="362"/>
      <c r="AA184" s="362"/>
      <c r="AB184" s="41"/>
      <c r="AC184" s="39"/>
      <c r="AD184" s="39"/>
    </row>
    <row r="185" spans="3:30" s="37" customFormat="1" ht="12" x14ac:dyDescent="0.2">
      <c r="C185" s="38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41"/>
      <c r="S185" s="277"/>
      <c r="T185" s="41"/>
      <c r="U185" s="362"/>
      <c r="V185" s="41"/>
      <c r="W185" s="362"/>
      <c r="X185" s="362"/>
      <c r="Y185" s="41"/>
      <c r="Z185" s="362"/>
      <c r="AA185" s="362"/>
      <c r="AB185" s="41"/>
      <c r="AC185" s="39"/>
      <c r="AD185" s="39"/>
    </row>
    <row r="186" spans="3:30" s="37" customFormat="1" ht="12" x14ac:dyDescent="0.2">
      <c r="C186" s="38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41"/>
      <c r="S186" s="277"/>
      <c r="T186" s="41"/>
      <c r="U186" s="362"/>
      <c r="V186" s="41"/>
      <c r="W186" s="362"/>
      <c r="X186" s="362"/>
      <c r="Y186" s="41"/>
      <c r="Z186" s="362"/>
      <c r="AA186" s="362"/>
      <c r="AB186" s="41"/>
      <c r="AC186" s="39"/>
      <c r="AD186" s="39"/>
    </row>
    <row r="187" spans="3:30" s="37" customFormat="1" ht="12" x14ac:dyDescent="0.2">
      <c r="C187" s="38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41"/>
      <c r="S187" s="277"/>
      <c r="T187" s="41"/>
      <c r="U187" s="362"/>
      <c r="V187" s="41"/>
      <c r="W187" s="362"/>
      <c r="X187" s="362"/>
      <c r="Y187" s="41"/>
      <c r="Z187" s="362"/>
      <c r="AA187" s="362"/>
      <c r="AB187" s="41"/>
      <c r="AC187" s="39"/>
      <c r="AD187" s="39"/>
    </row>
    <row r="188" spans="3:30" s="37" customFormat="1" ht="12" x14ac:dyDescent="0.2">
      <c r="C188" s="38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41"/>
      <c r="S188" s="277"/>
      <c r="T188" s="41"/>
      <c r="U188" s="362"/>
      <c r="V188" s="41"/>
      <c r="W188" s="362"/>
      <c r="X188" s="362"/>
      <c r="Y188" s="41"/>
      <c r="Z188" s="362"/>
      <c r="AA188" s="362"/>
      <c r="AB188" s="41"/>
      <c r="AC188" s="39"/>
      <c r="AD188" s="39"/>
    </row>
    <row r="189" spans="3:30" s="37" customFormat="1" ht="12" x14ac:dyDescent="0.2">
      <c r="C189" s="38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41"/>
      <c r="S189" s="277"/>
      <c r="T189" s="41"/>
      <c r="U189" s="362"/>
      <c r="V189" s="41"/>
      <c r="W189" s="362"/>
      <c r="X189" s="362"/>
      <c r="Y189" s="41"/>
      <c r="Z189" s="362"/>
      <c r="AA189" s="362"/>
      <c r="AB189" s="41"/>
      <c r="AC189" s="39"/>
      <c r="AD189" s="39"/>
    </row>
    <row r="190" spans="3:30" s="37" customFormat="1" ht="12" x14ac:dyDescent="0.2">
      <c r="C190" s="38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41"/>
      <c r="S190" s="277"/>
      <c r="T190" s="41"/>
      <c r="U190" s="362"/>
      <c r="V190" s="41"/>
      <c r="W190" s="362"/>
      <c r="X190" s="362"/>
      <c r="Y190" s="41"/>
      <c r="Z190" s="362"/>
      <c r="AA190" s="362"/>
      <c r="AB190" s="41"/>
      <c r="AC190" s="39"/>
      <c r="AD190" s="39"/>
    </row>
    <row r="191" spans="3:30" s="37" customFormat="1" ht="12" x14ac:dyDescent="0.2">
      <c r="C191" s="38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41"/>
      <c r="S191" s="277"/>
      <c r="T191" s="41"/>
      <c r="U191" s="362"/>
      <c r="V191" s="41"/>
      <c r="W191" s="362"/>
      <c r="X191" s="362"/>
      <c r="Y191" s="41"/>
      <c r="Z191" s="362"/>
      <c r="AA191" s="362"/>
      <c r="AB191" s="41"/>
      <c r="AC191" s="39"/>
      <c r="AD191" s="39"/>
    </row>
    <row r="192" spans="3:30" s="37" customFormat="1" ht="12" x14ac:dyDescent="0.2">
      <c r="C192" s="38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41"/>
      <c r="S192" s="277"/>
      <c r="T192" s="41"/>
      <c r="U192" s="362"/>
      <c r="V192" s="41"/>
      <c r="W192" s="362"/>
      <c r="X192" s="362"/>
      <c r="Y192" s="41"/>
      <c r="Z192" s="362"/>
      <c r="AA192" s="362"/>
      <c r="AB192" s="41"/>
      <c r="AC192" s="39"/>
      <c r="AD192" s="39"/>
    </row>
    <row r="193" spans="3:30" s="37" customFormat="1" ht="12" x14ac:dyDescent="0.2">
      <c r="C193" s="38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41"/>
      <c r="S193" s="277"/>
      <c r="T193" s="41"/>
      <c r="U193" s="362"/>
      <c r="V193" s="41"/>
      <c r="W193" s="362"/>
      <c r="X193" s="362"/>
      <c r="Y193" s="41"/>
      <c r="Z193" s="362"/>
      <c r="AA193" s="362"/>
      <c r="AB193" s="41"/>
      <c r="AC193" s="39"/>
      <c r="AD193" s="39"/>
    </row>
    <row r="194" spans="3:30" s="37" customFormat="1" ht="12" x14ac:dyDescent="0.2">
      <c r="C194" s="38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41"/>
      <c r="S194" s="277"/>
      <c r="T194" s="41"/>
      <c r="U194" s="362"/>
      <c r="V194" s="41"/>
      <c r="W194" s="362"/>
      <c r="X194" s="362"/>
      <c r="Y194" s="41"/>
      <c r="Z194" s="362"/>
      <c r="AA194" s="362"/>
      <c r="AB194" s="41"/>
      <c r="AC194" s="39"/>
      <c r="AD194" s="39"/>
    </row>
    <row r="195" spans="3:30" s="37" customFormat="1" ht="12" x14ac:dyDescent="0.2">
      <c r="C195" s="38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41"/>
      <c r="S195" s="277"/>
      <c r="T195" s="41"/>
      <c r="U195" s="362"/>
      <c r="V195" s="41"/>
      <c r="W195" s="362"/>
      <c r="X195" s="362"/>
      <c r="Y195" s="41"/>
      <c r="Z195" s="362"/>
      <c r="AA195" s="362"/>
      <c r="AB195" s="41"/>
      <c r="AC195" s="39"/>
      <c r="AD195" s="39"/>
    </row>
    <row r="196" spans="3:30" s="37" customFormat="1" ht="12" x14ac:dyDescent="0.2">
      <c r="C196" s="38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41"/>
      <c r="S196" s="277"/>
      <c r="T196" s="41"/>
      <c r="U196" s="362"/>
      <c r="V196" s="41"/>
      <c r="W196" s="362"/>
      <c r="X196" s="362"/>
      <c r="Y196" s="41"/>
      <c r="Z196" s="362"/>
      <c r="AA196" s="362"/>
      <c r="AB196" s="41"/>
      <c r="AC196" s="39"/>
      <c r="AD196" s="39"/>
    </row>
    <row r="197" spans="3:30" s="37" customFormat="1" ht="12" x14ac:dyDescent="0.2">
      <c r="C197" s="38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41"/>
      <c r="S197" s="277"/>
      <c r="T197" s="41"/>
      <c r="U197" s="362"/>
      <c r="V197" s="41"/>
      <c r="W197" s="362"/>
      <c r="X197" s="362"/>
      <c r="Y197" s="41"/>
      <c r="Z197" s="362"/>
      <c r="AA197" s="362"/>
      <c r="AB197" s="41"/>
      <c r="AC197" s="39"/>
      <c r="AD197" s="39"/>
    </row>
    <row r="198" spans="3:30" s="37" customFormat="1" ht="12" x14ac:dyDescent="0.2">
      <c r="C198" s="38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41"/>
      <c r="S198" s="277"/>
      <c r="T198" s="41"/>
      <c r="U198" s="362"/>
      <c r="V198" s="41"/>
      <c r="W198" s="362"/>
      <c r="X198" s="362"/>
      <c r="Y198" s="41"/>
      <c r="Z198" s="362"/>
      <c r="AA198" s="362"/>
      <c r="AB198" s="41"/>
      <c r="AC198" s="39"/>
      <c r="AD198" s="39"/>
    </row>
    <row r="199" spans="3:30" s="37" customFormat="1" ht="12" x14ac:dyDescent="0.2">
      <c r="C199" s="38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41"/>
      <c r="S199" s="277"/>
      <c r="T199" s="41"/>
      <c r="U199" s="362"/>
      <c r="V199" s="41"/>
      <c r="W199" s="362"/>
      <c r="X199" s="362"/>
      <c r="Y199" s="41"/>
      <c r="Z199" s="362"/>
      <c r="AA199" s="362"/>
      <c r="AB199" s="41"/>
      <c r="AC199" s="39"/>
      <c r="AD199" s="39"/>
    </row>
    <row r="200" spans="3:30" s="37" customFormat="1" ht="12" x14ac:dyDescent="0.2">
      <c r="C200" s="38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41"/>
      <c r="S200" s="277"/>
      <c r="T200" s="41"/>
      <c r="U200" s="362"/>
      <c r="V200" s="41"/>
      <c r="W200" s="362"/>
      <c r="X200" s="362"/>
      <c r="Y200" s="41"/>
      <c r="Z200" s="362"/>
      <c r="AA200" s="362"/>
      <c r="AB200" s="41"/>
      <c r="AC200" s="39"/>
      <c r="AD200" s="39"/>
    </row>
    <row r="201" spans="3:30" s="37" customFormat="1" ht="12" x14ac:dyDescent="0.2">
      <c r="C201" s="38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41"/>
      <c r="S201" s="277"/>
      <c r="T201" s="41"/>
      <c r="U201" s="362"/>
      <c r="V201" s="41"/>
      <c r="W201" s="362"/>
      <c r="X201" s="362"/>
      <c r="Y201" s="41"/>
      <c r="Z201" s="362"/>
      <c r="AA201" s="362"/>
      <c r="AB201" s="41"/>
      <c r="AC201" s="39"/>
      <c r="AD201" s="39"/>
    </row>
    <row r="202" spans="3:30" s="37" customFormat="1" ht="12" x14ac:dyDescent="0.2">
      <c r="C202" s="38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41"/>
      <c r="S202" s="277"/>
      <c r="T202" s="41"/>
      <c r="U202" s="362"/>
      <c r="V202" s="41"/>
      <c r="W202" s="362"/>
      <c r="X202" s="362"/>
      <c r="Y202" s="41"/>
      <c r="Z202" s="362"/>
      <c r="AA202" s="362"/>
      <c r="AB202" s="41"/>
      <c r="AC202" s="39"/>
      <c r="AD202" s="39"/>
    </row>
    <row r="203" spans="3:30" s="37" customFormat="1" ht="12" x14ac:dyDescent="0.2">
      <c r="C203" s="38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41"/>
      <c r="S203" s="277"/>
      <c r="T203" s="41"/>
      <c r="U203" s="362"/>
      <c r="V203" s="41"/>
      <c r="W203" s="362"/>
      <c r="X203" s="362"/>
      <c r="Y203" s="41"/>
      <c r="Z203" s="362"/>
      <c r="AA203" s="362"/>
      <c r="AB203" s="41"/>
      <c r="AC203" s="39"/>
      <c r="AD203" s="39"/>
    </row>
    <row r="204" spans="3:30" s="37" customFormat="1" ht="12" x14ac:dyDescent="0.2">
      <c r="C204" s="38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41"/>
      <c r="S204" s="277"/>
      <c r="T204" s="41"/>
      <c r="U204" s="362"/>
      <c r="V204" s="41"/>
      <c r="W204" s="362"/>
      <c r="X204" s="362"/>
      <c r="Y204" s="41"/>
      <c r="Z204" s="362"/>
      <c r="AA204" s="362"/>
      <c r="AB204" s="41"/>
      <c r="AC204" s="39"/>
      <c r="AD204" s="39"/>
    </row>
    <row r="205" spans="3:30" s="37" customFormat="1" ht="12" x14ac:dyDescent="0.2">
      <c r="C205" s="38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41"/>
      <c r="S205" s="277"/>
      <c r="T205" s="41"/>
      <c r="U205" s="362"/>
      <c r="V205" s="41"/>
      <c r="W205" s="362"/>
      <c r="X205" s="362"/>
      <c r="Y205" s="41"/>
      <c r="Z205" s="362"/>
      <c r="AA205" s="362"/>
      <c r="AB205" s="41"/>
      <c r="AC205" s="39"/>
      <c r="AD205" s="39"/>
    </row>
    <row r="206" spans="3:30" s="37" customFormat="1" ht="12" x14ac:dyDescent="0.2">
      <c r="C206" s="38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41"/>
      <c r="S206" s="277"/>
      <c r="T206" s="41"/>
      <c r="U206" s="362"/>
      <c r="V206" s="41"/>
      <c r="W206" s="362"/>
      <c r="X206" s="362"/>
      <c r="Y206" s="41"/>
      <c r="Z206" s="362"/>
      <c r="AA206" s="362"/>
      <c r="AB206" s="41"/>
      <c r="AC206" s="39"/>
      <c r="AD206" s="39"/>
    </row>
    <row r="207" spans="3:30" s="37" customFormat="1" ht="12" x14ac:dyDescent="0.2">
      <c r="C207" s="38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41"/>
      <c r="S207" s="277"/>
      <c r="T207" s="41"/>
      <c r="U207" s="362"/>
      <c r="V207" s="41"/>
      <c r="W207" s="362"/>
      <c r="X207" s="362"/>
      <c r="Y207" s="41"/>
      <c r="Z207" s="362"/>
      <c r="AA207" s="362"/>
      <c r="AB207" s="41"/>
      <c r="AC207" s="39"/>
      <c r="AD207" s="39"/>
    </row>
    <row r="208" spans="3:30" s="37" customFormat="1" ht="12" x14ac:dyDescent="0.2">
      <c r="C208" s="38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41"/>
      <c r="S208" s="277"/>
      <c r="T208" s="41"/>
      <c r="U208" s="362"/>
      <c r="V208" s="41"/>
      <c r="W208" s="362"/>
      <c r="X208" s="362"/>
      <c r="Y208" s="41"/>
      <c r="Z208" s="362"/>
      <c r="AA208" s="362"/>
      <c r="AB208" s="41"/>
      <c r="AC208" s="39"/>
      <c r="AD208" s="39"/>
    </row>
    <row r="209" spans="3:30" s="37" customFormat="1" ht="12" x14ac:dyDescent="0.2">
      <c r="C209" s="38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41"/>
      <c r="S209" s="277"/>
      <c r="T209" s="41"/>
      <c r="U209" s="362"/>
      <c r="V209" s="41"/>
      <c r="W209" s="362"/>
      <c r="X209" s="362"/>
      <c r="Y209" s="41"/>
      <c r="Z209" s="362"/>
      <c r="AA209" s="362"/>
      <c r="AB209" s="41"/>
      <c r="AC209" s="39"/>
      <c r="AD209" s="39"/>
    </row>
    <row r="210" spans="3:30" s="37" customFormat="1" ht="12" x14ac:dyDescent="0.2">
      <c r="C210" s="38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41"/>
      <c r="S210" s="277"/>
      <c r="T210" s="41"/>
      <c r="U210" s="362"/>
      <c r="V210" s="41"/>
      <c r="W210" s="362"/>
      <c r="X210" s="362"/>
      <c r="Y210" s="41"/>
      <c r="Z210" s="362"/>
      <c r="AA210" s="362"/>
      <c r="AB210" s="41"/>
      <c r="AC210" s="39"/>
      <c r="AD210" s="39"/>
    </row>
    <row r="211" spans="3:30" s="37" customFormat="1" ht="12" x14ac:dyDescent="0.2">
      <c r="C211" s="38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41"/>
      <c r="S211" s="277"/>
      <c r="T211" s="41"/>
      <c r="U211" s="362"/>
      <c r="V211" s="41"/>
      <c r="W211" s="362"/>
      <c r="X211" s="362"/>
      <c r="Y211" s="41"/>
      <c r="Z211" s="362"/>
      <c r="AA211" s="362"/>
      <c r="AB211" s="41"/>
      <c r="AC211" s="39"/>
      <c r="AD211" s="39"/>
    </row>
    <row r="212" spans="3:30" s="37" customFormat="1" ht="12" x14ac:dyDescent="0.2">
      <c r="C212" s="38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41"/>
      <c r="S212" s="277"/>
      <c r="T212" s="41"/>
      <c r="U212" s="362"/>
      <c r="V212" s="41"/>
      <c r="W212" s="362"/>
      <c r="X212" s="362"/>
      <c r="Y212" s="41"/>
      <c r="Z212" s="362"/>
      <c r="AA212" s="362"/>
      <c r="AB212" s="41"/>
      <c r="AC212" s="39"/>
      <c r="AD212" s="39"/>
    </row>
    <row r="213" spans="3:30" s="37" customFormat="1" ht="12" x14ac:dyDescent="0.2">
      <c r="C213" s="38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41"/>
      <c r="S213" s="277"/>
      <c r="T213" s="41"/>
      <c r="U213" s="362"/>
      <c r="V213" s="41"/>
      <c r="W213" s="362"/>
      <c r="X213" s="362"/>
      <c r="Y213" s="41"/>
      <c r="Z213" s="362"/>
      <c r="AA213" s="362"/>
      <c r="AB213" s="41"/>
      <c r="AC213" s="39"/>
      <c r="AD213" s="39"/>
    </row>
    <row r="214" spans="3:30" s="37" customFormat="1" ht="12" x14ac:dyDescent="0.2">
      <c r="C214" s="38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41"/>
      <c r="S214" s="277"/>
      <c r="T214" s="41"/>
      <c r="U214" s="362"/>
      <c r="V214" s="41"/>
      <c r="W214" s="362"/>
      <c r="X214" s="362"/>
      <c r="Y214" s="41"/>
      <c r="Z214" s="362"/>
      <c r="AA214" s="362"/>
      <c r="AB214" s="41"/>
      <c r="AC214" s="39"/>
      <c r="AD214" s="39"/>
    </row>
    <row r="215" spans="3:30" s="37" customFormat="1" ht="12" x14ac:dyDescent="0.2">
      <c r="C215" s="38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41"/>
      <c r="S215" s="277"/>
      <c r="T215" s="41"/>
      <c r="U215" s="362"/>
      <c r="V215" s="41"/>
      <c r="W215" s="362"/>
      <c r="X215" s="362"/>
      <c r="Y215" s="41"/>
      <c r="Z215" s="362"/>
      <c r="AA215" s="362"/>
      <c r="AB215" s="41"/>
      <c r="AC215" s="39"/>
      <c r="AD215" s="39"/>
    </row>
    <row r="216" spans="3:30" s="37" customFormat="1" ht="12" x14ac:dyDescent="0.2">
      <c r="C216" s="38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41"/>
      <c r="S216" s="277"/>
      <c r="T216" s="41"/>
      <c r="U216" s="362"/>
      <c r="V216" s="41"/>
      <c r="W216" s="362"/>
      <c r="X216" s="362"/>
      <c r="Y216" s="41"/>
      <c r="Z216" s="362"/>
      <c r="AA216" s="362"/>
      <c r="AB216" s="41"/>
      <c r="AC216" s="39"/>
      <c r="AD216" s="39"/>
    </row>
    <row r="217" spans="3:30" s="37" customFormat="1" ht="12" x14ac:dyDescent="0.2">
      <c r="C217" s="38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41"/>
      <c r="S217" s="277"/>
      <c r="T217" s="41"/>
      <c r="U217" s="362"/>
      <c r="V217" s="41"/>
      <c r="W217" s="362"/>
      <c r="X217" s="362"/>
      <c r="Y217" s="41"/>
      <c r="Z217" s="362"/>
      <c r="AA217" s="362"/>
      <c r="AB217" s="41"/>
      <c r="AC217" s="39"/>
      <c r="AD217" s="39"/>
    </row>
    <row r="218" spans="3:30" s="37" customFormat="1" ht="12" x14ac:dyDescent="0.2">
      <c r="C218" s="38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41"/>
      <c r="S218" s="277"/>
      <c r="T218" s="41"/>
      <c r="U218" s="362"/>
      <c r="V218" s="41"/>
      <c r="W218" s="362"/>
      <c r="X218" s="362"/>
      <c r="Y218" s="41"/>
      <c r="Z218" s="362"/>
      <c r="AA218" s="362"/>
      <c r="AB218" s="41"/>
      <c r="AC218" s="39"/>
      <c r="AD218" s="39"/>
    </row>
    <row r="219" spans="3:30" s="37" customFormat="1" ht="12" x14ac:dyDescent="0.2">
      <c r="C219" s="38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41"/>
      <c r="S219" s="277"/>
      <c r="T219" s="41"/>
      <c r="U219" s="362"/>
      <c r="V219" s="41"/>
      <c r="W219" s="362"/>
      <c r="X219" s="362"/>
      <c r="Y219" s="41"/>
      <c r="Z219" s="362"/>
      <c r="AA219" s="362"/>
      <c r="AB219" s="41"/>
      <c r="AC219" s="39"/>
      <c r="AD219" s="39"/>
    </row>
    <row r="220" spans="3:30" s="37" customFormat="1" ht="12" x14ac:dyDescent="0.2">
      <c r="C220" s="38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41"/>
      <c r="S220" s="277"/>
      <c r="T220" s="41"/>
      <c r="U220" s="362"/>
      <c r="V220" s="41"/>
      <c r="W220" s="362"/>
      <c r="X220" s="362"/>
      <c r="Y220" s="41"/>
      <c r="Z220" s="362"/>
      <c r="AA220" s="362"/>
      <c r="AB220" s="41"/>
      <c r="AC220" s="39"/>
      <c r="AD220" s="39"/>
    </row>
    <row r="221" spans="3:30" s="37" customFormat="1" ht="12" x14ac:dyDescent="0.2">
      <c r="C221" s="38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41"/>
      <c r="S221" s="277"/>
      <c r="T221" s="41"/>
      <c r="U221" s="362"/>
      <c r="V221" s="41"/>
      <c r="W221" s="362"/>
      <c r="X221" s="362"/>
      <c r="Y221" s="41"/>
      <c r="Z221" s="362"/>
      <c r="AA221" s="362"/>
      <c r="AB221" s="41"/>
      <c r="AC221" s="39"/>
      <c r="AD221" s="39"/>
    </row>
    <row r="222" spans="3:30" s="37" customFormat="1" ht="12" x14ac:dyDescent="0.2">
      <c r="C222" s="38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41"/>
      <c r="S222" s="277"/>
      <c r="T222" s="41"/>
      <c r="U222" s="362"/>
      <c r="V222" s="41"/>
      <c r="W222" s="362"/>
      <c r="X222" s="362"/>
      <c r="Y222" s="41"/>
      <c r="Z222" s="362"/>
      <c r="AA222" s="362"/>
      <c r="AB222" s="41"/>
      <c r="AC222" s="39"/>
      <c r="AD222" s="39"/>
    </row>
    <row r="223" spans="3:30" s="37" customFormat="1" ht="12" x14ac:dyDescent="0.2">
      <c r="C223" s="38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41"/>
      <c r="S223" s="277"/>
      <c r="T223" s="41"/>
      <c r="U223" s="362"/>
      <c r="V223" s="41"/>
      <c r="W223" s="362"/>
      <c r="X223" s="362"/>
      <c r="Y223" s="41"/>
      <c r="Z223" s="362"/>
      <c r="AA223" s="362"/>
      <c r="AB223" s="41"/>
      <c r="AC223" s="39"/>
      <c r="AD223" s="39"/>
    </row>
    <row r="224" spans="3:30" s="37" customFormat="1" ht="12" x14ac:dyDescent="0.2">
      <c r="C224" s="38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41"/>
      <c r="S224" s="277"/>
      <c r="T224" s="41"/>
      <c r="U224" s="362"/>
      <c r="V224" s="41"/>
      <c r="W224" s="362"/>
      <c r="X224" s="362"/>
      <c r="Y224" s="41"/>
      <c r="Z224" s="362"/>
      <c r="AA224" s="362"/>
      <c r="AB224" s="41"/>
      <c r="AC224" s="39"/>
      <c r="AD224" s="39"/>
    </row>
    <row r="225" spans="3:30" s="37" customFormat="1" ht="12" x14ac:dyDescent="0.2">
      <c r="C225" s="38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41"/>
      <c r="S225" s="277"/>
      <c r="T225" s="41"/>
      <c r="U225" s="362"/>
      <c r="V225" s="41"/>
      <c r="W225" s="362"/>
      <c r="X225" s="362"/>
      <c r="Y225" s="41"/>
      <c r="Z225" s="362"/>
      <c r="AA225" s="362"/>
      <c r="AB225" s="41"/>
      <c r="AC225" s="39"/>
      <c r="AD225" s="39"/>
    </row>
    <row r="226" spans="3:30" s="37" customFormat="1" ht="12" x14ac:dyDescent="0.2">
      <c r="C226" s="38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41"/>
      <c r="S226" s="277"/>
      <c r="T226" s="41"/>
      <c r="U226" s="362"/>
      <c r="V226" s="41"/>
      <c r="W226" s="362"/>
      <c r="X226" s="362"/>
      <c r="Y226" s="41"/>
      <c r="Z226" s="362"/>
      <c r="AA226" s="362"/>
      <c r="AB226" s="41"/>
      <c r="AC226" s="39"/>
      <c r="AD226" s="39"/>
    </row>
    <row r="227" spans="3:30" s="37" customFormat="1" ht="12" x14ac:dyDescent="0.2">
      <c r="C227" s="38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41"/>
      <c r="S227" s="277"/>
      <c r="T227" s="41"/>
      <c r="U227" s="362"/>
      <c r="V227" s="41"/>
      <c r="W227" s="362"/>
      <c r="X227" s="362"/>
      <c r="Y227" s="41"/>
      <c r="Z227" s="362"/>
      <c r="AA227" s="362"/>
      <c r="AB227" s="41"/>
      <c r="AC227" s="39"/>
      <c r="AD227" s="39"/>
    </row>
    <row r="228" spans="3:30" s="37" customFormat="1" ht="12" x14ac:dyDescent="0.2">
      <c r="C228" s="38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41"/>
      <c r="S228" s="277"/>
      <c r="T228" s="41"/>
      <c r="U228" s="362"/>
      <c r="V228" s="41"/>
      <c r="W228" s="362"/>
      <c r="X228" s="362"/>
      <c r="Y228" s="41"/>
      <c r="Z228" s="362"/>
      <c r="AA228" s="362"/>
      <c r="AB228" s="41"/>
      <c r="AC228" s="39"/>
      <c r="AD228" s="39"/>
    </row>
    <row r="229" spans="3:30" s="37" customFormat="1" ht="12" x14ac:dyDescent="0.2">
      <c r="C229" s="38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41"/>
      <c r="S229" s="277"/>
      <c r="T229" s="41"/>
      <c r="U229" s="362"/>
      <c r="V229" s="41"/>
      <c r="W229" s="362"/>
      <c r="X229" s="362"/>
      <c r="Y229" s="41"/>
      <c r="Z229" s="362"/>
      <c r="AA229" s="362"/>
      <c r="AB229" s="41"/>
      <c r="AC229" s="39"/>
      <c r="AD229" s="39"/>
    </row>
    <row r="230" spans="3:30" s="37" customFormat="1" ht="12" x14ac:dyDescent="0.2">
      <c r="C230" s="38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41"/>
      <c r="S230" s="277"/>
      <c r="T230" s="41"/>
      <c r="U230" s="362"/>
      <c r="V230" s="41"/>
      <c r="W230" s="362"/>
      <c r="X230" s="362"/>
      <c r="Y230" s="41"/>
      <c r="Z230" s="362"/>
      <c r="AA230" s="362"/>
      <c r="AB230" s="41"/>
      <c r="AC230" s="39"/>
      <c r="AD230" s="39"/>
    </row>
    <row r="231" spans="3:30" s="37" customFormat="1" ht="12" x14ac:dyDescent="0.2">
      <c r="C231" s="38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41"/>
      <c r="S231" s="277"/>
      <c r="T231" s="41"/>
      <c r="U231" s="362"/>
      <c r="V231" s="41"/>
      <c r="W231" s="362"/>
      <c r="X231" s="362"/>
      <c r="Y231" s="41"/>
      <c r="Z231" s="362"/>
      <c r="AA231" s="362"/>
      <c r="AB231" s="41"/>
      <c r="AC231" s="39"/>
      <c r="AD231" s="39"/>
    </row>
    <row r="232" spans="3:30" s="37" customFormat="1" ht="12" x14ac:dyDescent="0.2">
      <c r="C232" s="38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41"/>
      <c r="S232" s="277"/>
      <c r="T232" s="41"/>
      <c r="U232" s="362"/>
      <c r="V232" s="41"/>
      <c r="W232" s="362"/>
      <c r="X232" s="362"/>
      <c r="Y232" s="41"/>
      <c r="Z232" s="362"/>
      <c r="AA232" s="362"/>
      <c r="AB232" s="41"/>
      <c r="AC232" s="39"/>
      <c r="AD232" s="39"/>
    </row>
    <row r="233" spans="3:30" s="37" customFormat="1" ht="12" x14ac:dyDescent="0.2">
      <c r="C233" s="38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41"/>
      <c r="S233" s="277"/>
      <c r="T233" s="41"/>
      <c r="U233" s="362"/>
      <c r="V233" s="41"/>
      <c r="W233" s="362"/>
      <c r="X233" s="362"/>
      <c r="Y233" s="41"/>
      <c r="Z233" s="362"/>
      <c r="AA233" s="362"/>
      <c r="AB233" s="41"/>
      <c r="AC233" s="39"/>
      <c r="AD233" s="39"/>
    </row>
    <row r="234" spans="3:30" s="37" customFormat="1" ht="12" x14ac:dyDescent="0.2">
      <c r="C234" s="38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41"/>
      <c r="S234" s="277"/>
      <c r="T234" s="41"/>
      <c r="U234" s="362"/>
      <c r="V234" s="41"/>
      <c r="W234" s="362"/>
      <c r="X234" s="362"/>
      <c r="Y234" s="41"/>
      <c r="Z234" s="362"/>
      <c r="AA234" s="362"/>
      <c r="AB234" s="41"/>
      <c r="AC234" s="39"/>
      <c r="AD234" s="39"/>
    </row>
    <row r="235" spans="3:30" s="37" customFormat="1" ht="12" x14ac:dyDescent="0.2">
      <c r="C235" s="38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41"/>
      <c r="S235" s="277"/>
      <c r="T235" s="41"/>
      <c r="U235" s="362"/>
      <c r="V235" s="41"/>
      <c r="W235" s="362"/>
      <c r="X235" s="362"/>
      <c r="Y235" s="41"/>
      <c r="Z235" s="362"/>
      <c r="AA235" s="362"/>
      <c r="AB235" s="41"/>
      <c r="AC235" s="39"/>
      <c r="AD235" s="39"/>
    </row>
    <row r="236" spans="3:30" s="37" customFormat="1" ht="12" x14ac:dyDescent="0.2">
      <c r="C236" s="38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41"/>
      <c r="S236" s="277"/>
      <c r="T236" s="41"/>
      <c r="U236" s="362"/>
      <c r="V236" s="41"/>
      <c r="W236" s="362"/>
      <c r="X236" s="362"/>
      <c r="Y236" s="41"/>
      <c r="Z236" s="362"/>
      <c r="AA236" s="362"/>
      <c r="AB236" s="41"/>
      <c r="AC236" s="39"/>
      <c r="AD236" s="39"/>
    </row>
    <row r="237" spans="3:30" s="37" customFormat="1" ht="12" x14ac:dyDescent="0.2">
      <c r="C237" s="38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41"/>
      <c r="S237" s="277"/>
      <c r="T237" s="41"/>
      <c r="U237" s="362"/>
      <c r="V237" s="41"/>
      <c r="W237" s="362"/>
      <c r="X237" s="362"/>
      <c r="Y237" s="41"/>
      <c r="Z237" s="362"/>
      <c r="AA237" s="362"/>
      <c r="AB237" s="41"/>
      <c r="AC237" s="39"/>
      <c r="AD237" s="39"/>
    </row>
    <row r="238" spans="3:30" s="37" customFormat="1" ht="12" x14ac:dyDescent="0.2">
      <c r="C238" s="38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41"/>
      <c r="S238" s="277"/>
      <c r="T238" s="41"/>
      <c r="U238" s="362"/>
      <c r="V238" s="41"/>
      <c r="W238" s="362"/>
      <c r="X238" s="362"/>
      <c r="Y238" s="41"/>
      <c r="Z238" s="362"/>
      <c r="AA238" s="362"/>
      <c r="AB238" s="41"/>
      <c r="AC238" s="39"/>
      <c r="AD238" s="39"/>
    </row>
    <row r="239" spans="3:30" s="37" customFormat="1" ht="12" x14ac:dyDescent="0.2">
      <c r="C239" s="38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41"/>
      <c r="S239" s="277"/>
      <c r="T239" s="41"/>
      <c r="U239" s="362"/>
      <c r="V239" s="41"/>
      <c r="W239" s="362"/>
      <c r="X239" s="362"/>
      <c r="Y239" s="41"/>
      <c r="Z239" s="362"/>
      <c r="AA239" s="362"/>
      <c r="AB239" s="41"/>
      <c r="AC239" s="39"/>
      <c r="AD239" s="39"/>
    </row>
    <row r="240" spans="3:30" s="37" customFormat="1" ht="12" x14ac:dyDescent="0.2">
      <c r="C240" s="38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41"/>
      <c r="S240" s="277"/>
      <c r="T240" s="41"/>
      <c r="U240" s="362"/>
      <c r="V240" s="41"/>
      <c r="W240" s="362"/>
      <c r="X240" s="362"/>
      <c r="Y240" s="41"/>
      <c r="Z240" s="362"/>
      <c r="AA240" s="362"/>
      <c r="AB240" s="41"/>
      <c r="AC240" s="39"/>
      <c r="AD240" s="39"/>
    </row>
    <row r="241" spans="3:30" s="37" customFormat="1" ht="12" x14ac:dyDescent="0.2">
      <c r="C241" s="38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41"/>
      <c r="S241" s="277"/>
      <c r="T241" s="41"/>
      <c r="U241" s="362"/>
      <c r="V241" s="41"/>
      <c r="W241" s="362"/>
      <c r="X241" s="362"/>
      <c r="Y241" s="41"/>
      <c r="Z241" s="362"/>
      <c r="AA241" s="362"/>
      <c r="AB241" s="41"/>
      <c r="AC241" s="39"/>
      <c r="AD241" s="39"/>
    </row>
    <row r="242" spans="3:30" s="37" customFormat="1" ht="12" x14ac:dyDescent="0.2">
      <c r="C242" s="38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41"/>
      <c r="S242" s="277"/>
      <c r="T242" s="41"/>
      <c r="U242" s="362"/>
      <c r="V242" s="41"/>
      <c r="W242" s="362"/>
      <c r="X242" s="362"/>
      <c r="Y242" s="41"/>
      <c r="Z242" s="362"/>
      <c r="AA242" s="362"/>
      <c r="AB242" s="41"/>
      <c r="AC242" s="39"/>
      <c r="AD242" s="39"/>
    </row>
    <row r="243" spans="3:30" s="37" customFormat="1" ht="12" x14ac:dyDescent="0.2">
      <c r="C243" s="38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41"/>
      <c r="S243" s="277"/>
      <c r="T243" s="41"/>
      <c r="U243" s="362"/>
      <c r="V243" s="41"/>
      <c r="W243" s="362"/>
      <c r="X243" s="362"/>
      <c r="Y243" s="41"/>
      <c r="Z243" s="362"/>
      <c r="AA243" s="362"/>
      <c r="AB243" s="41"/>
      <c r="AC243" s="39"/>
      <c r="AD243" s="39"/>
    </row>
    <row r="244" spans="3:30" s="37" customFormat="1" ht="12" x14ac:dyDescent="0.2">
      <c r="C244" s="38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41"/>
      <c r="S244" s="277"/>
      <c r="T244" s="41"/>
      <c r="U244" s="362"/>
      <c r="V244" s="41"/>
      <c r="W244" s="362"/>
      <c r="X244" s="362"/>
      <c r="Y244" s="41"/>
      <c r="Z244" s="362"/>
      <c r="AA244" s="362"/>
      <c r="AB244" s="41"/>
      <c r="AC244" s="39"/>
      <c r="AD244" s="39"/>
    </row>
    <row r="245" spans="3:30" s="37" customFormat="1" ht="12" x14ac:dyDescent="0.2">
      <c r="C245" s="38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41"/>
      <c r="S245" s="277"/>
      <c r="T245" s="41"/>
      <c r="U245" s="362"/>
      <c r="V245" s="41"/>
      <c r="W245" s="362"/>
      <c r="X245" s="362"/>
      <c r="Y245" s="41"/>
      <c r="Z245" s="362"/>
      <c r="AA245" s="362"/>
      <c r="AB245" s="41"/>
      <c r="AC245" s="39"/>
      <c r="AD245" s="39"/>
    </row>
    <row r="246" spans="3:30" s="37" customFormat="1" ht="12" x14ac:dyDescent="0.2">
      <c r="C246" s="38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41"/>
      <c r="S246" s="277"/>
      <c r="T246" s="41"/>
      <c r="U246" s="362"/>
      <c r="V246" s="41"/>
      <c r="W246" s="362"/>
      <c r="X246" s="362"/>
      <c r="Y246" s="41"/>
      <c r="Z246" s="362"/>
      <c r="AA246" s="362"/>
      <c r="AB246" s="41"/>
      <c r="AC246" s="39"/>
      <c r="AD246" s="39"/>
    </row>
    <row r="247" spans="3:30" s="37" customFormat="1" ht="12" x14ac:dyDescent="0.2">
      <c r="C247" s="38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41"/>
      <c r="S247" s="277"/>
      <c r="T247" s="41"/>
      <c r="U247" s="362"/>
      <c r="V247" s="41"/>
      <c r="W247" s="362"/>
      <c r="X247" s="362"/>
      <c r="Y247" s="41"/>
      <c r="Z247" s="362"/>
      <c r="AA247" s="362"/>
      <c r="AB247" s="41"/>
      <c r="AC247" s="39"/>
      <c r="AD247" s="39"/>
    </row>
    <row r="248" spans="3:30" s="37" customFormat="1" ht="12" x14ac:dyDescent="0.2">
      <c r="C248" s="38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41"/>
      <c r="S248" s="277"/>
      <c r="T248" s="41"/>
      <c r="U248" s="362"/>
      <c r="V248" s="41"/>
      <c r="W248" s="362"/>
      <c r="X248" s="362"/>
      <c r="Y248" s="41"/>
      <c r="Z248" s="362"/>
      <c r="AA248" s="362"/>
      <c r="AB248" s="41"/>
      <c r="AC248" s="39"/>
      <c r="AD248" s="39"/>
    </row>
    <row r="249" spans="3:30" s="37" customFormat="1" ht="12" x14ac:dyDescent="0.2">
      <c r="C249" s="38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41"/>
      <c r="S249" s="277"/>
      <c r="T249" s="41"/>
      <c r="U249" s="362"/>
      <c r="V249" s="41"/>
      <c r="W249" s="362"/>
      <c r="X249" s="362"/>
      <c r="Y249" s="41"/>
      <c r="Z249" s="362"/>
      <c r="AA249" s="362"/>
      <c r="AB249" s="41"/>
      <c r="AC249" s="39"/>
      <c r="AD249" s="39"/>
    </row>
    <row r="250" spans="3:30" s="37" customFormat="1" ht="12" x14ac:dyDescent="0.2">
      <c r="C250" s="38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41"/>
      <c r="S250" s="277"/>
      <c r="T250" s="41"/>
      <c r="U250" s="362"/>
      <c r="V250" s="41"/>
      <c r="W250" s="362"/>
      <c r="X250" s="362"/>
      <c r="Y250" s="41"/>
      <c r="Z250" s="362"/>
      <c r="AA250" s="362"/>
      <c r="AB250" s="41"/>
      <c r="AC250" s="39"/>
      <c r="AD250" s="39"/>
    </row>
    <row r="251" spans="3:30" s="37" customFormat="1" ht="12" x14ac:dyDescent="0.2">
      <c r="C251" s="38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41"/>
      <c r="S251" s="277"/>
      <c r="T251" s="41"/>
      <c r="U251" s="362"/>
      <c r="V251" s="41"/>
      <c r="W251" s="362"/>
      <c r="X251" s="362"/>
      <c r="Y251" s="41"/>
      <c r="Z251" s="362"/>
      <c r="AA251" s="362"/>
      <c r="AB251" s="41"/>
      <c r="AC251" s="39"/>
      <c r="AD251" s="39"/>
    </row>
    <row r="252" spans="3:30" s="37" customFormat="1" ht="12" x14ac:dyDescent="0.2">
      <c r="C252" s="38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41"/>
      <c r="S252" s="277"/>
      <c r="T252" s="41"/>
      <c r="U252" s="362"/>
      <c r="V252" s="41"/>
      <c r="W252" s="362"/>
      <c r="X252" s="362"/>
      <c r="Y252" s="41"/>
      <c r="Z252" s="362"/>
      <c r="AA252" s="362"/>
      <c r="AB252" s="41"/>
      <c r="AC252" s="39"/>
      <c r="AD252" s="39"/>
    </row>
    <row r="253" spans="3:30" s="37" customFormat="1" ht="12" x14ac:dyDescent="0.2">
      <c r="C253" s="38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41"/>
      <c r="S253" s="277"/>
      <c r="T253" s="41"/>
      <c r="U253" s="362"/>
      <c r="V253" s="41"/>
      <c r="W253" s="362"/>
      <c r="X253" s="362"/>
      <c r="Y253" s="41"/>
      <c r="Z253" s="362"/>
      <c r="AA253" s="362"/>
      <c r="AB253" s="41"/>
      <c r="AC253" s="39"/>
      <c r="AD253" s="39"/>
    </row>
    <row r="254" spans="3:30" s="37" customFormat="1" ht="12" x14ac:dyDescent="0.2">
      <c r="C254" s="38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41"/>
      <c r="S254" s="277"/>
      <c r="T254" s="41"/>
      <c r="U254" s="362"/>
      <c r="V254" s="41"/>
      <c r="W254" s="362"/>
      <c r="X254" s="362"/>
      <c r="Y254" s="41"/>
      <c r="Z254" s="362"/>
      <c r="AA254" s="362"/>
      <c r="AB254" s="41"/>
      <c r="AC254" s="39"/>
      <c r="AD254" s="39"/>
    </row>
    <row r="255" spans="3:30" s="37" customFormat="1" ht="12" x14ac:dyDescent="0.2">
      <c r="C255" s="38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41"/>
      <c r="S255" s="277"/>
      <c r="T255" s="41"/>
      <c r="U255" s="362"/>
      <c r="V255" s="41"/>
      <c r="W255" s="362"/>
      <c r="X255" s="362"/>
      <c r="Y255" s="41"/>
      <c r="Z255" s="362"/>
      <c r="AA255" s="362"/>
      <c r="AB255" s="41"/>
      <c r="AC255" s="39"/>
      <c r="AD255" s="39"/>
    </row>
    <row r="256" spans="3:30" s="37" customFormat="1" ht="12" x14ac:dyDescent="0.2">
      <c r="C256" s="38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41"/>
      <c r="S256" s="277"/>
      <c r="T256" s="41"/>
      <c r="U256" s="362"/>
      <c r="V256" s="41"/>
      <c r="W256" s="362"/>
      <c r="X256" s="362"/>
      <c r="Y256" s="41"/>
      <c r="Z256" s="362"/>
      <c r="AA256" s="362"/>
      <c r="AB256" s="41"/>
      <c r="AC256" s="39"/>
      <c r="AD256" s="39"/>
    </row>
    <row r="257" spans="3:30" s="37" customFormat="1" ht="12" x14ac:dyDescent="0.2">
      <c r="C257" s="38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41"/>
      <c r="S257" s="277"/>
      <c r="T257" s="41"/>
      <c r="U257" s="362"/>
      <c r="V257" s="41"/>
      <c r="W257" s="362"/>
      <c r="X257" s="362"/>
      <c r="Y257" s="41"/>
      <c r="Z257" s="362"/>
      <c r="AA257" s="362"/>
      <c r="AB257" s="41"/>
      <c r="AC257" s="39"/>
      <c r="AD257" s="39"/>
    </row>
    <row r="258" spans="3:30" s="37" customFormat="1" ht="12" x14ac:dyDescent="0.2">
      <c r="C258" s="38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41"/>
      <c r="S258" s="277"/>
      <c r="T258" s="41"/>
      <c r="U258" s="362"/>
      <c r="V258" s="41"/>
      <c r="W258" s="362"/>
      <c r="X258" s="362"/>
      <c r="Y258" s="41"/>
      <c r="Z258" s="362"/>
      <c r="AA258" s="362"/>
      <c r="AB258" s="41"/>
      <c r="AC258" s="39"/>
      <c r="AD258" s="39"/>
    </row>
    <row r="259" spans="3:30" s="37" customFormat="1" ht="12" x14ac:dyDescent="0.2">
      <c r="C259" s="38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41"/>
      <c r="S259" s="277"/>
      <c r="T259" s="41"/>
      <c r="U259" s="362"/>
      <c r="V259" s="41"/>
      <c r="W259" s="362"/>
      <c r="X259" s="362"/>
      <c r="Y259" s="41"/>
      <c r="Z259" s="362"/>
      <c r="AA259" s="362"/>
      <c r="AB259" s="41"/>
      <c r="AC259" s="39"/>
      <c r="AD259" s="39"/>
    </row>
    <row r="260" spans="3:30" s="37" customFormat="1" ht="12" x14ac:dyDescent="0.2">
      <c r="C260" s="38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41"/>
      <c r="S260" s="277"/>
      <c r="T260" s="41"/>
      <c r="U260" s="362"/>
      <c r="V260" s="41"/>
      <c r="W260" s="362"/>
      <c r="X260" s="362"/>
      <c r="Y260" s="41"/>
      <c r="Z260" s="362"/>
      <c r="AA260" s="362"/>
      <c r="AB260" s="41"/>
      <c r="AC260" s="39"/>
      <c r="AD260" s="39"/>
    </row>
    <row r="261" spans="3:30" s="37" customFormat="1" ht="12" x14ac:dyDescent="0.2">
      <c r="C261" s="38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41"/>
      <c r="S261" s="277"/>
      <c r="T261" s="41"/>
      <c r="U261" s="362"/>
      <c r="V261" s="41"/>
      <c r="W261" s="362"/>
      <c r="X261" s="362"/>
      <c r="Y261" s="41"/>
      <c r="Z261" s="362"/>
      <c r="AA261" s="362"/>
      <c r="AB261" s="41"/>
      <c r="AC261" s="39"/>
      <c r="AD261" s="39"/>
    </row>
    <row r="262" spans="3:30" s="37" customFormat="1" ht="12" x14ac:dyDescent="0.2">
      <c r="C262" s="38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41"/>
      <c r="S262" s="277"/>
      <c r="T262" s="41"/>
      <c r="U262" s="362"/>
      <c r="V262" s="41"/>
      <c r="W262" s="362"/>
      <c r="X262" s="362"/>
      <c r="Y262" s="41"/>
      <c r="Z262" s="362"/>
      <c r="AA262" s="362"/>
      <c r="AB262" s="41"/>
      <c r="AC262" s="39"/>
      <c r="AD262" s="39"/>
    </row>
    <row r="263" spans="3:30" s="37" customFormat="1" ht="12" x14ac:dyDescent="0.2">
      <c r="C263" s="38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41"/>
      <c r="S263" s="277"/>
      <c r="T263" s="41"/>
      <c r="U263" s="362"/>
      <c r="V263" s="41"/>
      <c r="W263" s="362"/>
      <c r="X263" s="362"/>
      <c r="Y263" s="41"/>
      <c r="Z263" s="362"/>
      <c r="AA263" s="362"/>
      <c r="AB263" s="41"/>
      <c r="AC263" s="39"/>
      <c r="AD263" s="39"/>
    </row>
    <row r="264" spans="3:30" s="37" customFormat="1" ht="12" x14ac:dyDescent="0.2">
      <c r="C264" s="38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41"/>
      <c r="S264" s="277"/>
      <c r="T264" s="41"/>
      <c r="U264" s="362"/>
      <c r="V264" s="41"/>
      <c r="W264" s="362"/>
      <c r="X264" s="362"/>
      <c r="Y264" s="41"/>
      <c r="Z264" s="362"/>
      <c r="AA264" s="362"/>
      <c r="AB264" s="41"/>
      <c r="AC264" s="39"/>
      <c r="AD264" s="39"/>
    </row>
    <row r="265" spans="3:30" s="37" customFormat="1" ht="12" x14ac:dyDescent="0.2">
      <c r="C265" s="38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41"/>
      <c r="S265" s="277"/>
      <c r="T265" s="41"/>
      <c r="U265" s="362"/>
      <c r="V265" s="41"/>
      <c r="W265" s="362"/>
      <c r="X265" s="362"/>
      <c r="Y265" s="41"/>
      <c r="Z265" s="362"/>
      <c r="AA265" s="362"/>
      <c r="AB265" s="41"/>
      <c r="AC265" s="39"/>
      <c r="AD265" s="39"/>
    </row>
    <row r="266" spans="3:30" s="37" customFormat="1" ht="12" x14ac:dyDescent="0.2">
      <c r="C266" s="38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41"/>
      <c r="S266" s="277"/>
      <c r="T266" s="41"/>
      <c r="U266" s="362"/>
      <c r="V266" s="41"/>
      <c r="W266" s="362"/>
      <c r="X266" s="362"/>
      <c r="Y266" s="41"/>
      <c r="Z266" s="362"/>
      <c r="AA266" s="362"/>
      <c r="AB266" s="41"/>
      <c r="AC266" s="39"/>
      <c r="AD266" s="39"/>
    </row>
    <row r="267" spans="3:30" s="37" customFormat="1" ht="12" x14ac:dyDescent="0.2">
      <c r="C267" s="38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41"/>
      <c r="S267" s="277"/>
      <c r="T267" s="41"/>
      <c r="U267" s="362"/>
      <c r="V267" s="41"/>
      <c r="W267" s="362"/>
      <c r="X267" s="362"/>
      <c r="Y267" s="41"/>
      <c r="Z267" s="362"/>
      <c r="AA267" s="362"/>
      <c r="AB267" s="41"/>
      <c r="AC267" s="39"/>
      <c r="AD267" s="39"/>
    </row>
    <row r="268" spans="3:30" s="37" customFormat="1" ht="12" x14ac:dyDescent="0.2">
      <c r="C268" s="38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41"/>
      <c r="S268" s="277"/>
      <c r="T268" s="41"/>
      <c r="U268" s="362"/>
      <c r="V268" s="41"/>
      <c r="W268" s="362"/>
      <c r="X268" s="362"/>
      <c r="Y268" s="41"/>
      <c r="Z268" s="362"/>
      <c r="AA268" s="362"/>
      <c r="AB268" s="41"/>
      <c r="AC268" s="39"/>
      <c r="AD268" s="39"/>
    </row>
    <row r="269" spans="3:30" s="37" customFormat="1" ht="12" x14ac:dyDescent="0.2">
      <c r="C269" s="38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41"/>
      <c r="S269" s="277"/>
      <c r="T269" s="41"/>
      <c r="U269" s="362"/>
      <c r="V269" s="41"/>
      <c r="W269" s="362"/>
      <c r="X269" s="362"/>
      <c r="Y269" s="41"/>
      <c r="Z269" s="362"/>
      <c r="AA269" s="362"/>
      <c r="AB269" s="41"/>
      <c r="AC269" s="39"/>
      <c r="AD269" s="39"/>
    </row>
    <row r="270" spans="3:30" s="37" customFormat="1" ht="12" x14ac:dyDescent="0.2">
      <c r="C270" s="38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41"/>
      <c r="S270" s="277"/>
      <c r="T270" s="41"/>
      <c r="U270" s="362"/>
      <c r="V270" s="41"/>
      <c r="W270" s="362"/>
      <c r="X270" s="362"/>
      <c r="Y270" s="41"/>
      <c r="Z270" s="362"/>
      <c r="AA270" s="362"/>
      <c r="AB270" s="41"/>
      <c r="AC270" s="39"/>
      <c r="AD270" s="39"/>
    </row>
    <row r="271" spans="3:30" s="37" customFormat="1" ht="12" x14ac:dyDescent="0.2">
      <c r="C271" s="38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41"/>
      <c r="S271" s="277"/>
      <c r="T271" s="41"/>
      <c r="U271" s="362"/>
      <c r="V271" s="41"/>
      <c r="W271" s="362"/>
      <c r="X271" s="362"/>
      <c r="Y271" s="41"/>
      <c r="Z271" s="362"/>
      <c r="AA271" s="362"/>
      <c r="AB271" s="41"/>
      <c r="AC271" s="39"/>
      <c r="AD271" s="39"/>
    </row>
    <row r="272" spans="3:30" s="37" customFormat="1" ht="12" x14ac:dyDescent="0.2">
      <c r="C272" s="38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41"/>
      <c r="S272" s="277"/>
      <c r="T272" s="41"/>
      <c r="U272" s="362"/>
      <c r="V272" s="41"/>
      <c r="W272" s="362"/>
      <c r="X272" s="362"/>
      <c r="Y272" s="41"/>
      <c r="Z272" s="362"/>
      <c r="AA272" s="362"/>
      <c r="AB272" s="41"/>
      <c r="AC272" s="39"/>
      <c r="AD272" s="39"/>
    </row>
    <row r="273" spans="3:30" s="37" customFormat="1" ht="12" x14ac:dyDescent="0.2">
      <c r="C273" s="38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41"/>
      <c r="S273" s="277"/>
      <c r="T273" s="41"/>
      <c r="U273" s="362"/>
      <c r="V273" s="41"/>
      <c r="W273" s="362"/>
      <c r="X273" s="362"/>
      <c r="Y273" s="41"/>
      <c r="Z273" s="362"/>
      <c r="AA273" s="362"/>
      <c r="AB273" s="41"/>
      <c r="AC273" s="39"/>
      <c r="AD273" s="39"/>
    </row>
    <row r="274" spans="3:30" s="37" customFormat="1" ht="12" x14ac:dyDescent="0.2">
      <c r="C274" s="38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41"/>
      <c r="S274" s="277"/>
      <c r="T274" s="41"/>
      <c r="U274" s="362"/>
      <c r="V274" s="41"/>
      <c r="W274" s="362"/>
      <c r="X274" s="362"/>
      <c r="Y274" s="41"/>
      <c r="Z274" s="362"/>
      <c r="AA274" s="362"/>
      <c r="AB274" s="41"/>
      <c r="AC274" s="39"/>
      <c r="AD274" s="39"/>
    </row>
    <row r="275" spans="3:30" s="37" customFormat="1" ht="12" x14ac:dyDescent="0.2">
      <c r="C275" s="38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41"/>
      <c r="S275" s="277"/>
      <c r="T275" s="41"/>
      <c r="U275" s="362"/>
      <c r="V275" s="41"/>
      <c r="W275" s="362"/>
      <c r="X275" s="362"/>
      <c r="Y275" s="41"/>
      <c r="Z275" s="362"/>
      <c r="AA275" s="362"/>
      <c r="AB275" s="41"/>
      <c r="AC275" s="39"/>
      <c r="AD275" s="39"/>
    </row>
    <row r="276" spans="3:30" s="37" customFormat="1" ht="12" x14ac:dyDescent="0.2">
      <c r="C276" s="38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41"/>
      <c r="S276" s="277"/>
      <c r="T276" s="41"/>
      <c r="U276" s="362"/>
      <c r="V276" s="41"/>
      <c r="W276" s="362"/>
      <c r="X276" s="362"/>
      <c r="Y276" s="41"/>
      <c r="Z276" s="362"/>
      <c r="AA276" s="362"/>
      <c r="AB276" s="41"/>
      <c r="AC276" s="39"/>
      <c r="AD276" s="39"/>
    </row>
    <row r="277" spans="3:30" x14ac:dyDescent="0.25"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R277" s="27"/>
      <c r="T277" s="27"/>
      <c r="V277" s="27"/>
      <c r="Y277" s="27"/>
      <c r="AB277" s="27"/>
      <c r="AC277" s="22"/>
      <c r="AD277" s="22"/>
    </row>
  </sheetData>
  <sheetProtection algorithmName="SHA-512" hashValue="ezZBT5bvmPpavF428z9NPQp4m3PrUPqcuUjkj5Z0ibL/XQ1vp0Fg9EgnwUTX7XVcrHxR0fE/nnoXF/eIYMeiwQ==" saltValue="LSzDvTLGso7Lym86itaIpg==" spinCount="100000" sheet="1" objects="1" scenarios="1" selectLockedCells="1"/>
  <pageMargins left="0.7" right="0.7" top="0.75" bottom="0.75" header="0.3" footer="0.3"/>
  <pageSetup scale="21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/>
  </sheetPr>
  <dimension ref="A1:W277"/>
  <sheetViews>
    <sheetView workbookViewId="0">
      <selection sqref="A1:XFD1048576"/>
    </sheetView>
  </sheetViews>
  <sheetFormatPr defaultColWidth="8.85546875" defaultRowHeight="15" x14ac:dyDescent="0.25"/>
  <cols>
    <col min="1" max="2" width="3.140625" style="14" customWidth="1"/>
    <col min="3" max="3" width="7.85546875" style="20" customWidth="1"/>
    <col min="4" max="4" width="31.85546875" style="14" customWidth="1"/>
    <col min="5" max="5" width="9.85546875" style="14" bestFit="1" customWidth="1"/>
    <col min="6" max="16" width="8.85546875" style="14"/>
    <col min="17" max="17" width="8.85546875" style="22"/>
    <col min="18" max="18" width="2.140625" style="28" customWidth="1"/>
    <col min="19" max="19" width="9.85546875" style="21" bestFit="1" customWidth="1"/>
    <col min="20" max="20" width="2.140625" style="28" customWidth="1"/>
    <col min="21" max="16384" width="8.85546875" style="14"/>
  </cols>
  <sheetData>
    <row r="1" spans="1:23" s="1" customFormat="1" ht="21" x14ac:dyDescent="0.35">
      <c r="A1" s="11" t="str">
        <f>'Rev &amp; Enroll'!$F$5</f>
        <v>Nevada State High School (CSO)</v>
      </c>
      <c r="B1" s="11"/>
      <c r="C1" s="17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4"/>
      <c r="R1" s="24"/>
      <c r="S1" s="3"/>
      <c r="T1" s="29"/>
      <c r="U1" s="2"/>
      <c r="V1" s="2"/>
    </row>
    <row r="2" spans="1:23" s="1" customFormat="1" x14ac:dyDescent="0.25">
      <c r="A2" s="12" t="str">
        <f>CONCATENATE("Monthly Cash Flow/Budget"," ",MYP!G4)</f>
        <v>Monthly Cash Flow/Budget FY22</v>
      </c>
      <c r="B2" s="12"/>
      <c r="C2" s="17"/>
      <c r="D2" s="13"/>
      <c r="E2" s="2"/>
      <c r="F2" s="2"/>
      <c r="G2" s="2"/>
      <c r="H2" s="2"/>
      <c r="I2" s="2"/>
      <c r="J2" s="2"/>
      <c r="M2" s="2"/>
      <c r="N2" s="2"/>
      <c r="O2" s="2"/>
      <c r="Q2" s="8"/>
      <c r="R2" s="25"/>
      <c r="S2" s="2"/>
      <c r="T2" s="29"/>
      <c r="U2" s="4"/>
      <c r="V2" s="4"/>
    </row>
    <row r="3" spans="1:23" s="6" customFormat="1" ht="13.5" customHeight="1" x14ac:dyDescent="0.2">
      <c r="A3" s="5" t="str">
        <f>'FY21'!A3</f>
        <v>Board Approved: Proposed: 4/16/2020</v>
      </c>
      <c r="B3" s="5"/>
      <c r="C3" s="1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8"/>
      <c r="R3" s="25"/>
      <c r="S3" s="7"/>
      <c r="T3" s="31"/>
      <c r="U3" s="7"/>
      <c r="V3" s="7"/>
    </row>
    <row r="4" spans="1:23" s="9" customFormat="1" ht="29.45" customHeight="1" x14ac:dyDescent="0.25">
      <c r="C4" s="19"/>
      <c r="D4" s="10"/>
      <c r="E4" s="33">
        <f>'FY21'!E4+(365*1)</f>
        <v>44378</v>
      </c>
      <c r="F4" s="33">
        <f t="shared" ref="F4:P4" si="0">E4+31</f>
        <v>44409</v>
      </c>
      <c r="G4" s="33">
        <f t="shared" si="0"/>
        <v>44440</v>
      </c>
      <c r="H4" s="33">
        <f t="shared" si="0"/>
        <v>44471</v>
      </c>
      <c r="I4" s="33">
        <f t="shared" si="0"/>
        <v>44502</v>
      </c>
      <c r="J4" s="33">
        <f t="shared" si="0"/>
        <v>44533</v>
      </c>
      <c r="K4" s="33">
        <f t="shared" si="0"/>
        <v>44564</v>
      </c>
      <c r="L4" s="33">
        <f t="shared" si="0"/>
        <v>44595</v>
      </c>
      <c r="M4" s="33">
        <f t="shared" si="0"/>
        <v>44626</v>
      </c>
      <c r="N4" s="33">
        <f t="shared" si="0"/>
        <v>44657</v>
      </c>
      <c r="O4" s="33">
        <f t="shared" si="0"/>
        <v>44688</v>
      </c>
      <c r="P4" s="56">
        <f t="shared" si="0"/>
        <v>44719</v>
      </c>
      <c r="Q4" s="35" t="s">
        <v>54</v>
      </c>
      <c r="R4" s="26"/>
      <c r="S4" s="58" t="s">
        <v>55</v>
      </c>
      <c r="T4" s="32"/>
      <c r="U4" s="33" t="s">
        <v>57</v>
      </c>
      <c r="V4" s="33" t="s">
        <v>56</v>
      </c>
    </row>
    <row r="5" spans="1:23" s="9" customFormat="1" ht="12" x14ac:dyDescent="0.2">
      <c r="C5" s="19"/>
      <c r="D5" s="207" t="s">
        <v>184</v>
      </c>
      <c r="E5" s="323">
        <f>IF(('Rev &amp; Enroll'!$F37*'Rev &amp; Enroll'!$F24)&gt;500000,0.08333,0)</f>
        <v>8.3330000000000001E-2</v>
      </c>
      <c r="F5" s="323">
        <f>IF(('Rev &amp; Enroll'!$F37*'Rev &amp; Enroll'!$F24)&gt;500000,0.08333,0.25)</f>
        <v>8.3330000000000001E-2</v>
      </c>
      <c r="G5" s="323">
        <f>IF(('Rev &amp; Enroll'!$F37*'Rev &amp; Enroll'!$F24)&gt;500000,0.08333,0)</f>
        <v>8.3330000000000001E-2</v>
      </c>
      <c r="H5" s="323">
        <f>IF(('Rev &amp; Enroll'!$F37*'Rev &amp; Enroll'!$F24)&gt;500000,0.08333,0)</f>
        <v>8.3330000000000001E-2</v>
      </c>
      <c r="I5" s="323">
        <f>IF(('Rev &amp; Enroll'!$F37*'Rev &amp; Enroll'!$F24)&gt;500000,0.08333,0.25)</f>
        <v>8.3330000000000001E-2</v>
      </c>
      <c r="J5" s="323">
        <f>IF(('Rev &amp; Enroll'!$F37*'Rev &amp; Enroll'!$F24)&gt;500000,0.08333,0)</f>
        <v>8.3330000000000001E-2</v>
      </c>
      <c r="K5" s="323">
        <f>IF(('Rev &amp; Enroll'!$F37*'Rev &amp; Enroll'!$F24)&gt;500000,0.08333,0)</f>
        <v>8.3330000000000001E-2</v>
      </c>
      <c r="L5" s="323">
        <f>IF(('Rev &amp; Enroll'!$F37*'Rev &amp; Enroll'!$F24)&gt;500000,0.08333,0.25)</f>
        <v>8.3330000000000001E-2</v>
      </c>
      <c r="M5" s="323">
        <f>IF(('Rev &amp; Enroll'!$F37*'Rev &amp; Enroll'!$F24)&gt;500000,0.08333,0)</f>
        <v>8.3330000000000001E-2</v>
      </c>
      <c r="N5" s="323">
        <f>IF(('Rev &amp; Enroll'!$F37*'Rev &amp; Enroll'!$F24)&gt;500000,0.08333,0)</f>
        <v>8.3330000000000001E-2</v>
      </c>
      <c r="O5" s="323">
        <f>IF(('Rev &amp; Enroll'!$F37*'Rev &amp; Enroll'!$F24)&gt;500000,0.08333,0.25)</f>
        <v>8.3330000000000001E-2</v>
      </c>
      <c r="P5" s="323">
        <f>IF(('Rev &amp; Enroll'!$F37*'Rev &amp; Enroll'!$F24)&gt;500000,0.08333,0)</f>
        <v>8.3330000000000001E-2</v>
      </c>
      <c r="Q5" s="221">
        <f>1-SUM(E5:P5)</f>
        <v>3.9999999999928981E-5</v>
      </c>
      <c r="R5" s="41"/>
      <c r="S5" s="59"/>
      <c r="T5" s="41"/>
      <c r="U5" s="39"/>
      <c r="V5" s="39"/>
      <c r="W5" s="32"/>
    </row>
    <row r="6" spans="1:23" s="37" customFormat="1" ht="11.45" customHeight="1" x14ac:dyDescent="0.2">
      <c r="A6" s="45" t="s">
        <v>58</v>
      </c>
      <c r="C6" s="38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6"/>
      <c r="R6" s="41"/>
      <c r="S6" s="59"/>
      <c r="T6" s="41"/>
      <c r="U6" s="39"/>
      <c r="V6" s="39"/>
      <c r="W6" s="39"/>
    </row>
    <row r="7" spans="1:23" s="37" customFormat="1" ht="12" x14ac:dyDescent="0.2">
      <c r="A7" s="45"/>
      <c r="C7" s="49" t="s">
        <v>171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6"/>
      <c r="R7" s="41"/>
      <c r="S7" s="59"/>
      <c r="T7" s="41"/>
      <c r="U7" s="39"/>
      <c r="V7" s="39"/>
      <c r="W7" s="39"/>
    </row>
    <row r="8" spans="1:23" s="37" customFormat="1" ht="12" x14ac:dyDescent="0.2">
      <c r="A8" s="45"/>
      <c r="C8" s="199">
        <v>1110</v>
      </c>
      <c r="D8" s="37" t="s">
        <v>0</v>
      </c>
      <c r="E8" s="180">
        <f>+'FY21'!E8*(1+MYP!$G$8)</f>
        <v>43000.372799999997</v>
      </c>
      <c r="F8" s="180">
        <f>+'FY21'!F8*(1+MYP!$G$8)</f>
        <v>43000.372799999997</v>
      </c>
      <c r="G8" s="180">
        <f>+'FY21'!G8*(1+MYP!$G$8)</f>
        <v>43000.372799999997</v>
      </c>
      <c r="H8" s="180">
        <f>+'FY21'!H8*(1+MYP!$G$8)</f>
        <v>43000.372799999997</v>
      </c>
      <c r="I8" s="180">
        <f>+'FY21'!I8*(1+MYP!$G$8)</f>
        <v>43000.372799999997</v>
      </c>
      <c r="J8" s="180">
        <f>+'FY21'!J8*(1+MYP!$G$8)</f>
        <v>43000.372799999997</v>
      </c>
      <c r="K8" s="180">
        <f>+'FY21'!K8*(1+MYP!$G$8)</f>
        <v>43000.372799999997</v>
      </c>
      <c r="L8" s="180">
        <f>+'FY21'!L8*(1+MYP!$G$8)</f>
        <v>43000.372799999997</v>
      </c>
      <c r="M8" s="180">
        <f>+'FY21'!M8*(1+MYP!$G$8)</f>
        <v>43000.372799999997</v>
      </c>
      <c r="N8" s="180">
        <f>+'FY21'!N8*(1+MYP!$G$8)</f>
        <v>43000.372799999997</v>
      </c>
      <c r="O8" s="180">
        <f>+'FY21'!O8*(1+MYP!$G$8)</f>
        <v>43000.372799999997</v>
      </c>
      <c r="P8" s="180">
        <f>+'FY21'!P8*(1+MYP!$G$8)</f>
        <v>42998.652785088001</v>
      </c>
      <c r="Q8" s="185"/>
      <c r="R8" s="186"/>
      <c r="S8" s="187">
        <f>SUM(E8:Q8)</f>
        <v>516002.75358508807</v>
      </c>
      <c r="T8" s="186"/>
      <c r="U8" s="180">
        <f>'FY21'!S8</f>
        <v>475578.57473280001</v>
      </c>
      <c r="V8" s="180">
        <f t="shared" ref="V8:V20" si="1">S8-U8</f>
        <v>40424.178852288052</v>
      </c>
      <c r="W8" s="39"/>
    </row>
    <row r="9" spans="1:23" s="37" customFormat="1" ht="12" x14ac:dyDescent="0.2">
      <c r="A9" s="45"/>
      <c r="C9" s="199">
        <v>1120</v>
      </c>
      <c r="D9" s="37" t="s">
        <v>1</v>
      </c>
      <c r="E9" s="362">
        <f>+'FY21'!E9*(1+MYP!$G$8)</f>
        <v>47235.257999999994</v>
      </c>
      <c r="F9" s="362">
        <f>+'FY21'!F9*(1+MYP!$G$8)</f>
        <v>47235.257999999994</v>
      </c>
      <c r="G9" s="362">
        <f>+'FY21'!G9*(1+MYP!$G$8)</f>
        <v>47235.257999999994</v>
      </c>
      <c r="H9" s="362">
        <f>+'FY21'!H9*(1+MYP!$G$8)</f>
        <v>47235.257999999994</v>
      </c>
      <c r="I9" s="362">
        <f>+'FY21'!I9*(1+MYP!$G$8)</f>
        <v>47235.257999999994</v>
      </c>
      <c r="J9" s="362">
        <f>+'FY21'!J9*(1+MYP!$G$8)</f>
        <v>47235.257999999994</v>
      </c>
      <c r="K9" s="362">
        <f>+'FY21'!K9*(1+MYP!$G$8)</f>
        <v>47235.257999999994</v>
      </c>
      <c r="L9" s="362">
        <f>+'FY21'!L9*(1+MYP!$G$8)</f>
        <v>47235.257999999994</v>
      </c>
      <c r="M9" s="362">
        <f>+'FY21'!M9*(1+MYP!$G$8)</f>
        <v>47235.257999999994</v>
      </c>
      <c r="N9" s="362">
        <f>+'FY21'!N9*(1+MYP!$G$8)</f>
        <v>47235.257999999994</v>
      </c>
      <c r="O9" s="362">
        <f>+'FY21'!O9*(1+MYP!$G$8)</f>
        <v>47235.257999999994</v>
      </c>
      <c r="P9" s="362">
        <f>+'FY21'!P9*(1+MYP!$G$8)</f>
        <v>47233.368589679994</v>
      </c>
      <c r="Q9" s="36"/>
      <c r="R9" s="41"/>
      <c r="S9" s="59">
        <f t="shared" ref="S9:S20" si="2">SUM(E9:Q9)</f>
        <v>566821.20658967982</v>
      </c>
      <c r="T9" s="41"/>
      <c r="U9" s="39">
        <f>'FY21'!S9</f>
        <v>522415.85860799992</v>
      </c>
      <c r="V9" s="39">
        <f t="shared" si="1"/>
        <v>44405.347981679894</v>
      </c>
      <c r="W9" s="39"/>
    </row>
    <row r="10" spans="1:23" s="37" customFormat="1" ht="12" x14ac:dyDescent="0.2">
      <c r="A10" s="45"/>
      <c r="C10" s="199">
        <v>1191</v>
      </c>
      <c r="D10" s="37" t="s">
        <v>2</v>
      </c>
      <c r="E10" s="362">
        <f>+'FY21'!E10*(1+MYP!$G$8)</f>
        <v>162.8802</v>
      </c>
      <c r="F10" s="362">
        <f>+'FY21'!F10*(1+MYP!$G$8)</f>
        <v>162.8802</v>
      </c>
      <c r="G10" s="362">
        <f>+'FY21'!G10*(1+MYP!$G$8)</f>
        <v>162.8802</v>
      </c>
      <c r="H10" s="362">
        <f>+'FY21'!H10*(1+MYP!$G$8)</f>
        <v>162.8802</v>
      </c>
      <c r="I10" s="362">
        <f>+'FY21'!I10*(1+MYP!$G$8)</f>
        <v>162.8802</v>
      </c>
      <c r="J10" s="362">
        <f>+'FY21'!J10*(1+MYP!$G$8)</f>
        <v>162.8802</v>
      </c>
      <c r="K10" s="362">
        <f>+'FY21'!K10*(1+MYP!$G$8)</f>
        <v>162.8802</v>
      </c>
      <c r="L10" s="362">
        <f>+'FY21'!L10*(1+MYP!$G$8)</f>
        <v>162.8802</v>
      </c>
      <c r="M10" s="362">
        <f>+'FY21'!M10*(1+MYP!$G$8)</f>
        <v>162.8802</v>
      </c>
      <c r="N10" s="362">
        <f>+'FY21'!N10*(1+MYP!$G$8)</f>
        <v>162.8802</v>
      </c>
      <c r="O10" s="362">
        <f>+'FY21'!O10*(1+MYP!$G$8)</f>
        <v>162.8802</v>
      </c>
      <c r="P10" s="362">
        <f>+'FY21'!P10*(1+MYP!$G$8)</f>
        <v>162.87368479200001</v>
      </c>
      <c r="Q10" s="36"/>
      <c r="R10" s="41"/>
      <c r="S10" s="59">
        <f t="shared" si="2"/>
        <v>1954.5558847920004</v>
      </c>
      <c r="T10" s="41"/>
      <c r="U10" s="39">
        <f>'FY21'!S10</f>
        <v>1801.4339951999998</v>
      </c>
      <c r="V10" s="39">
        <f t="shared" si="1"/>
        <v>153.12188959200057</v>
      </c>
      <c r="W10" s="39"/>
    </row>
    <row r="11" spans="1:23" s="37" customFormat="1" ht="12" x14ac:dyDescent="0.2">
      <c r="A11" s="45"/>
      <c r="C11" s="199">
        <v>1192</v>
      </c>
      <c r="D11" s="37" t="s">
        <v>3</v>
      </c>
      <c r="E11" s="362">
        <f>+'FY21'!E11*(1+MYP!$G$8)</f>
        <v>5049.2861999999996</v>
      </c>
      <c r="F11" s="362">
        <f>+'FY21'!F11*(1+MYP!$G$8)</f>
        <v>5049.2861999999996</v>
      </c>
      <c r="G11" s="362">
        <f>+'FY21'!G11*(1+MYP!$G$8)</f>
        <v>5049.2861999999996</v>
      </c>
      <c r="H11" s="362">
        <f>+'FY21'!H11*(1+MYP!$G$8)</f>
        <v>5049.2861999999996</v>
      </c>
      <c r="I11" s="362">
        <f>+'FY21'!I11*(1+MYP!$G$8)</f>
        <v>5049.2861999999996</v>
      </c>
      <c r="J11" s="362">
        <f>+'FY21'!J11*(1+MYP!$G$8)</f>
        <v>5049.2861999999996</v>
      </c>
      <c r="K11" s="362">
        <f>+'FY21'!K11*(1+MYP!$G$8)</f>
        <v>5049.2861999999996</v>
      </c>
      <c r="L11" s="362">
        <f>+'FY21'!L11*(1+MYP!$G$8)</f>
        <v>5049.2861999999996</v>
      </c>
      <c r="M11" s="362">
        <f>+'FY21'!M11*(1+MYP!$G$8)</f>
        <v>5049.2861999999996</v>
      </c>
      <c r="N11" s="362">
        <f>+'FY21'!N11*(1+MYP!$G$8)</f>
        <v>5049.2861999999996</v>
      </c>
      <c r="O11" s="362">
        <f>+'FY21'!O11*(1+MYP!$G$8)</f>
        <v>5049.2861999999996</v>
      </c>
      <c r="P11" s="362">
        <f>+'FY21'!P11*(1+MYP!$G$8)</f>
        <v>5049.0842285519993</v>
      </c>
      <c r="Q11" s="98"/>
      <c r="R11" s="41"/>
      <c r="S11" s="59">
        <f t="shared" si="2"/>
        <v>60591.232428552001</v>
      </c>
      <c r="T11" s="41"/>
      <c r="U11" s="39">
        <f>'FY21'!S11</f>
        <v>55844.453851200007</v>
      </c>
      <c r="V11" s="39">
        <f t="shared" si="1"/>
        <v>4746.7785773519936</v>
      </c>
      <c r="W11" s="39"/>
    </row>
    <row r="12" spans="1:23" s="37" customFormat="1" ht="12" x14ac:dyDescent="0.2">
      <c r="A12" s="45"/>
      <c r="C12" s="199">
        <v>3110</v>
      </c>
      <c r="D12" s="37" t="s">
        <v>73</v>
      </c>
      <c r="E12" s="362">
        <f>+'FY21'!E12*(1+MYP!$G$8)</f>
        <v>67432.402799999996</v>
      </c>
      <c r="F12" s="362">
        <f>+'FY21'!F12*(1+MYP!$G$8)</f>
        <v>67432.402799999996</v>
      </c>
      <c r="G12" s="362">
        <f>+'FY21'!G12*(1+MYP!$G$8)</f>
        <v>67432.402799999996</v>
      </c>
      <c r="H12" s="362">
        <f>+'FY21'!H12*(1+MYP!$G$8)</f>
        <v>67432.402799999996</v>
      </c>
      <c r="I12" s="362">
        <f>+'FY21'!I12*(1+MYP!$G$8)</f>
        <v>67432.402799999996</v>
      </c>
      <c r="J12" s="362">
        <f>+'FY21'!J12*(1+MYP!$G$8)</f>
        <v>67432.402799999996</v>
      </c>
      <c r="K12" s="362">
        <f>+'FY21'!K12*(1+MYP!$G$8)</f>
        <v>67432.402799999996</v>
      </c>
      <c r="L12" s="362">
        <f>+'FY21'!L12*(1+MYP!$G$8)</f>
        <v>67432.402799999996</v>
      </c>
      <c r="M12" s="362">
        <f>+'FY21'!M12*(1+MYP!$G$8)</f>
        <v>67432.402799999996</v>
      </c>
      <c r="N12" s="362">
        <f>+'FY21'!N12*(1+MYP!$G$8)</f>
        <v>67432.402799999996</v>
      </c>
      <c r="O12" s="362">
        <f>+'FY21'!O12*(1+MYP!$G$8)</f>
        <v>67432.402799999996</v>
      </c>
      <c r="P12" s="362">
        <f>+'FY21'!P12*(1+MYP!$G$8)</f>
        <v>67429.705503887992</v>
      </c>
      <c r="Q12" s="98"/>
      <c r="R12" s="41"/>
      <c r="S12" s="59">
        <f t="shared" si="2"/>
        <v>809186.13630388805</v>
      </c>
      <c r="T12" s="41"/>
      <c r="U12" s="39">
        <f>'FY21'!S12</f>
        <v>745793.67401279975</v>
      </c>
      <c r="V12" s="39">
        <f t="shared" si="1"/>
        <v>63392.462291088304</v>
      </c>
      <c r="W12" s="39"/>
    </row>
    <row r="13" spans="1:23" s="37" customFormat="1" ht="12" x14ac:dyDescent="0.2">
      <c r="A13" s="45"/>
      <c r="C13" s="38"/>
      <c r="E13" s="50">
        <f>SUBTOTAL(9,E8:E12)</f>
        <v>162880.19999999998</v>
      </c>
      <c r="F13" s="50">
        <f t="shared" ref="F13:S13" si="3">SUBTOTAL(9,F8:F12)</f>
        <v>162880.19999999998</v>
      </c>
      <c r="G13" s="50">
        <f t="shared" si="3"/>
        <v>162880.19999999998</v>
      </c>
      <c r="H13" s="50">
        <f t="shared" si="3"/>
        <v>162880.19999999998</v>
      </c>
      <c r="I13" s="50">
        <f t="shared" si="3"/>
        <v>162880.19999999998</v>
      </c>
      <c r="J13" s="50">
        <f t="shared" si="3"/>
        <v>162880.19999999998</v>
      </c>
      <c r="K13" s="50">
        <f t="shared" si="3"/>
        <v>162880.19999999998</v>
      </c>
      <c r="L13" s="50">
        <f t="shared" si="3"/>
        <v>162880.19999999998</v>
      </c>
      <c r="M13" s="50">
        <f t="shared" si="3"/>
        <v>162880.19999999998</v>
      </c>
      <c r="N13" s="50">
        <f t="shared" si="3"/>
        <v>162880.19999999998</v>
      </c>
      <c r="O13" s="50">
        <f t="shared" si="3"/>
        <v>162880.19999999998</v>
      </c>
      <c r="P13" s="50">
        <f t="shared" si="3"/>
        <v>162873.68479199999</v>
      </c>
      <c r="Q13" s="99"/>
      <c r="R13" s="41"/>
      <c r="S13" s="61">
        <f t="shared" si="3"/>
        <v>1954555.8847920001</v>
      </c>
      <c r="T13" s="41"/>
      <c r="U13" s="50">
        <f t="shared" ref="U13" si="4">SUBTOTAL(9,U8:U12)</f>
        <v>1801433.9951999998</v>
      </c>
      <c r="V13" s="50">
        <f t="shared" ref="V13" si="5">SUBTOTAL(9,V8:V12)</f>
        <v>153121.88959200025</v>
      </c>
      <c r="W13" s="39"/>
    </row>
    <row r="14" spans="1:23" s="37" customFormat="1" ht="12" x14ac:dyDescent="0.2">
      <c r="A14" s="45"/>
      <c r="C14" s="49" t="s">
        <v>170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98"/>
      <c r="R14" s="41"/>
      <c r="S14" s="59"/>
      <c r="T14" s="41"/>
      <c r="U14" s="39"/>
      <c r="V14" s="39"/>
      <c r="W14" s="39"/>
    </row>
    <row r="15" spans="1:23" s="37" customFormat="1" ht="12" x14ac:dyDescent="0.2">
      <c r="A15" s="45"/>
      <c r="C15" s="199">
        <v>3115</v>
      </c>
      <c r="D15" s="37" t="s">
        <v>5</v>
      </c>
      <c r="E15" s="362">
        <f>+'FY21'!E15*(1+MYP!$G$8)</f>
        <v>0</v>
      </c>
      <c r="F15" s="362">
        <f>+'FY21'!F15*(1+MYP!$G$8)</f>
        <v>0</v>
      </c>
      <c r="G15" s="362">
        <f>+'FY21'!G15*(1+MYP!$G$8)</f>
        <v>0</v>
      </c>
      <c r="H15" s="362">
        <f>+'FY21'!H15*(1+MYP!$G$8)</f>
        <v>0</v>
      </c>
      <c r="I15" s="362">
        <f>+'FY21'!I15*(1+MYP!$G$8)</f>
        <v>0</v>
      </c>
      <c r="J15" s="362">
        <f>+'FY21'!J15*(1+MYP!$G$8)</f>
        <v>0</v>
      </c>
      <c r="K15" s="362">
        <f>+'FY21'!K15*(1+MYP!$G$8)</f>
        <v>0</v>
      </c>
      <c r="L15" s="362">
        <f>+'FY21'!L15*(1+MYP!$G$8)</f>
        <v>0</v>
      </c>
      <c r="M15" s="362">
        <f>+'FY21'!M15*(1+MYP!$G$8)</f>
        <v>0</v>
      </c>
      <c r="N15" s="362">
        <f>+'FY21'!N15*(1+MYP!$G$8)</f>
        <v>0</v>
      </c>
      <c r="O15" s="362">
        <f>+'FY21'!O15*(1+MYP!$G$8)</f>
        <v>0</v>
      </c>
      <c r="P15" s="362">
        <f>+'FY21'!P15*(1+MYP!$G$8)</f>
        <v>0</v>
      </c>
      <c r="Q15" s="100"/>
      <c r="R15" s="41"/>
      <c r="S15" s="59">
        <f>SUM(E15:Q15)</f>
        <v>0</v>
      </c>
      <c r="T15" s="41"/>
      <c r="U15" s="39">
        <f>'FY21'!S15</f>
        <v>0</v>
      </c>
      <c r="V15" s="39">
        <f t="shared" si="1"/>
        <v>0</v>
      </c>
      <c r="W15" s="39"/>
    </row>
    <row r="16" spans="1:23" s="37" customFormat="1" ht="12" x14ac:dyDescent="0.2">
      <c r="A16" s="45"/>
      <c r="C16" s="199">
        <v>3200</v>
      </c>
      <c r="D16" s="37" t="s">
        <v>6</v>
      </c>
      <c r="E16" s="362">
        <f>+'FY21'!E16*(1+MYP!$G$8)</f>
        <v>0</v>
      </c>
      <c r="F16" s="362">
        <f>+'FY21'!F16*(1+MYP!$G$8)</f>
        <v>0</v>
      </c>
      <c r="G16" s="362">
        <f>+'FY21'!G16*(1+MYP!$G$8)</f>
        <v>0</v>
      </c>
      <c r="H16" s="362">
        <f>+'FY21'!H16*(1+MYP!$G$8)</f>
        <v>0</v>
      </c>
      <c r="I16" s="362">
        <f>+'FY21'!I16*(1+MYP!$G$8)</f>
        <v>0</v>
      </c>
      <c r="J16" s="362">
        <f>+'FY21'!J16*(1+MYP!$G$8)</f>
        <v>0</v>
      </c>
      <c r="K16" s="362">
        <f>+'FY21'!K16*(1+MYP!$G$8)</f>
        <v>0</v>
      </c>
      <c r="L16" s="362">
        <f>+'FY21'!L16*(1+MYP!$G$8)</f>
        <v>0</v>
      </c>
      <c r="M16" s="362">
        <f>+'FY21'!M16*(1+MYP!$G$8)</f>
        <v>0</v>
      </c>
      <c r="N16" s="362">
        <f>+'FY21'!N16*(1+MYP!$G$8)</f>
        <v>0</v>
      </c>
      <c r="O16" s="362">
        <f>+'FY21'!O16*(1+MYP!$G$8)</f>
        <v>0</v>
      </c>
      <c r="P16" s="362">
        <f>+'FY21'!P16*(1+MYP!$G$8)</f>
        <v>0</v>
      </c>
      <c r="Q16" s="100"/>
      <c r="R16" s="41"/>
      <c r="S16" s="59">
        <f t="shared" si="2"/>
        <v>0</v>
      </c>
      <c r="T16" s="41"/>
      <c r="U16" s="39">
        <f>'FY21'!S16</f>
        <v>0</v>
      </c>
      <c r="V16" s="39">
        <f t="shared" si="1"/>
        <v>0</v>
      </c>
      <c r="W16" s="39"/>
    </row>
    <row r="17" spans="1:23" s="37" customFormat="1" ht="12" x14ac:dyDescent="0.2">
      <c r="A17" s="45"/>
      <c r="C17" s="38"/>
      <c r="E17" s="50">
        <f>SUBTOTAL(9,E15:E16)</f>
        <v>0</v>
      </c>
      <c r="F17" s="50">
        <f t="shared" ref="F17:V17" si="6">SUBTOTAL(9,F15:F16)</f>
        <v>0</v>
      </c>
      <c r="G17" s="50">
        <f t="shared" si="6"/>
        <v>0</v>
      </c>
      <c r="H17" s="50">
        <f t="shared" si="6"/>
        <v>0</v>
      </c>
      <c r="I17" s="50">
        <f t="shared" si="6"/>
        <v>0</v>
      </c>
      <c r="J17" s="50">
        <f t="shared" si="6"/>
        <v>0</v>
      </c>
      <c r="K17" s="50">
        <f t="shared" si="6"/>
        <v>0</v>
      </c>
      <c r="L17" s="50">
        <f t="shared" si="6"/>
        <v>0</v>
      </c>
      <c r="M17" s="50">
        <f t="shared" si="6"/>
        <v>0</v>
      </c>
      <c r="N17" s="50">
        <f t="shared" si="6"/>
        <v>0</v>
      </c>
      <c r="O17" s="50">
        <f t="shared" si="6"/>
        <v>0</v>
      </c>
      <c r="P17" s="50">
        <f t="shared" si="6"/>
        <v>0</v>
      </c>
      <c r="Q17" s="99"/>
      <c r="R17" s="41"/>
      <c r="S17" s="61">
        <f t="shared" si="6"/>
        <v>0</v>
      </c>
      <c r="T17" s="41"/>
      <c r="U17" s="50">
        <f t="shared" si="6"/>
        <v>0</v>
      </c>
      <c r="V17" s="50">
        <f t="shared" si="6"/>
        <v>0</v>
      </c>
      <c r="W17" s="39"/>
    </row>
    <row r="18" spans="1:23" s="37" customFormat="1" ht="12" x14ac:dyDescent="0.2">
      <c r="A18" s="45"/>
      <c r="C18" s="49" t="s">
        <v>149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100"/>
      <c r="R18" s="41"/>
      <c r="S18" s="59"/>
      <c r="T18" s="41"/>
      <c r="U18" s="39"/>
      <c r="V18" s="39"/>
      <c r="W18" s="39"/>
    </row>
    <row r="19" spans="1:23" s="37" customFormat="1" ht="12" x14ac:dyDescent="0.2">
      <c r="A19" s="45"/>
      <c r="C19" s="199">
        <v>4500</v>
      </c>
      <c r="D19" s="37" t="s">
        <v>6</v>
      </c>
      <c r="E19" s="362">
        <f>+'FY21'!E19*(1+MYP!$G$8)</f>
        <v>0</v>
      </c>
      <c r="F19" s="362">
        <f>+'FY21'!F19*(1+MYP!$G$8)</f>
        <v>0</v>
      </c>
      <c r="G19" s="362">
        <f>+'FY21'!G19*(1+MYP!$G$8)</f>
        <v>0</v>
      </c>
      <c r="H19" s="362">
        <f>+'FY21'!H19*(1+MYP!$G$8)</f>
        <v>0</v>
      </c>
      <c r="I19" s="362">
        <f>+'FY21'!I19*(1+MYP!$G$8)</f>
        <v>0</v>
      </c>
      <c r="J19" s="362">
        <f>+'FY21'!J19*(1+MYP!$G$8)</f>
        <v>0</v>
      </c>
      <c r="K19" s="362">
        <f>+'FY21'!K19*(1+MYP!$G$8)</f>
        <v>8920.869999999999</v>
      </c>
      <c r="L19" s="362">
        <f>+'FY21'!L19*(1+MYP!$G$8)</f>
        <v>0</v>
      </c>
      <c r="M19" s="362">
        <f>+'FY21'!M19*(1+MYP!$G$8)</f>
        <v>0</v>
      </c>
      <c r="N19" s="362">
        <f>+'FY21'!N19*(1+MYP!$G$8)</f>
        <v>0</v>
      </c>
      <c r="O19" s="362">
        <f>+'FY21'!O19*(1+MYP!$G$8)</f>
        <v>0</v>
      </c>
      <c r="P19" s="362">
        <f>+'FY21'!P19*(1+MYP!$G$8)</f>
        <v>11151.0875</v>
      </c>
      <c r="Q19" s="100"/>
      <c r="R19" s="41"/>
      <c r="S19" s="59">
        <f t="shared" si="2"/>
        <v>20071.957499999997</v>
      </c>
      <c r="T19" s="41"/>
      <c r="U19" s="39">
        <f>'FY21'!S19</f>
        <v>18499.5</v>
      </c>
      <c r="V19" s="39">
        <f t="shared" si="1"/>
        <v>1572.4574999999968</v>
      </c>
      <c r="W19" s="39"/>
    </row>
    <row r="20" spans="1:23" s="37" customFormat="1" ht="12" x14ac:dyDescent="0.2">
      <c r="A20" s="45"/>
      <c r="C20" s="199">
        <v>4571</v>
      </c>
      <c r="D20" s="37" t="s">
        <v>7</v>
      </c>
      <c r="E20" s="362">
        <f>+'FY21'!E20*(1+MYP!$G$8)</f>
        <v>0</v>
      </c>
      <c r="F20" s="362">
        <f>+'FY21'!F20*(1+MYP!$G$8)</f>
        <v>0</v>
      </c>
      <c r="G20" s="362">
        <f>+'FY21'!G20*(1+MYP!$G$8)</f>
        <v>0</v>
      </c>
      <c r="H20" s="362">
        <f>+'FY21'!H20*(1+MYP!$G$8)</f>
        <v>0</v>
      </c>
      <c r="I20" s="362">
        <f>+'FY21'!I20*(1+MYP!$G$8)</f>
        <v>0</v>
      </c>
      <c r="J20" s="362">
        <f>+'FY21'!J20*(1+MYP!$G$8)</f>
        <v>2170</v>
      </c>
      <c r="K20" s="362">
        <f>+'FY21'!K20*(1+MYP!$G$8)</f>
        <v>0</v>
      </c>
      <c r="L20" s="362">
        <f>+'FY21'!L20*(1+MYP!$G$8)</f>
        <v>0</v>
      </c>
      <c r="M20" s="362">
        <f>+'FY21'!M20*(1+MYP!$G$8)</f>
        <v>0</v>
      </c>
      <c r="N20" s="362">
        <f>+'FY21'!N20*(1+MYP!$G$8)</f>
        <v>0</v>
      </c>
      <c r="O20" s="362">
        <f>+'FY21'!O20*(1+MYP!$G$8)</f>
        <v>3255</v>
      </c>
      <c r="P20" s="362">
        <f>+'FY21'!P20*(1+MYP!$G$8)</f>
        <v>0</v>
      </c>
      <c r="Q20" s="100"/>
      <c r="R20" s="41"/>
      <c r="S20" s="62">
        <f t="shared" si="2"/>
        <v>5425</v>
      </c>
      <c r="T20" s="41"/>
      <c r="U20" s="41">
        <f>'FY21'!S20</f>
        <v>5000</v>
      </c>
      <c r="V20" s="41">
        <f t="shared" si="1"/>
        <v>425</v>
      </c>
      <c r="W20" s="39"/>
    </row>
    <row r="21" spans="1:23" s="37" customFormat="1" ht="12" x14ac:dyDescent="0.2">
      <c r="A21" s="45"/>
      <c r="C21" s="38">
        <v>4703</v>
      </c>
      <c r="D21" s="37" t="s">
        <v>185</v>
      </c>
      <c r="E21" s="362">
        <f>+'FY21'!E21*(1+MYP!$G$8)</f>
        <v>0</v>
      </c>
      <c r="F21" s="362">
        <f>+'FY21'!F21*(1+MYP!$G$8)</f>
        <v>0</v>
      </c>
      <c r="G21" s="362">
        <f>+'FY21'!G21*(1+MYP!$G$8)</f>
        <v>0</v>
      </c>
      <c r="H21" s="362">
        <f>+'FY21'!H21*(1+MYP!$G$8)</f>
        <v>0</v>
      </c>
      <c r="I21" s="362">
        <f>+'FY21'!I21*(1+MYP!$G$8)</f>
        <v>0</v>
      </c>
      <c r="J21" s="362">
        <f>+'FY21'!J21*(1+MYP!$G$8)</f>
        <v>6367.7239499999987</v>
      </c>
      <c r="K21" s="362">
        <f>+'FY21'!K21*(1+MYP!$G$8)</f>
        <v>0</v>
      </c>
      <c r="L21" s="362">
        <f>+'FY21'!L21*(1+MYP!$G$8)</f>
        <v>0</v>
      </c>
      <c r="M21" s="362">
        <f>+'FY21'!M21*(1+MYP!$G$8)</f>
        <v>0</v>
      </c>
      <c r="N21" s="362">
        <f>+'FY21'!N21*(1+MYP!$G$8)</f>
        <v>0</v>
      </c>
      <c r="O21" s="362">
        <f>+'FY21'!O21*(1+MYP!$G$8)</f>
        <v>6367.7239499999987</v>
      </c>
      <c r="P21" s="362">
        <f>+'FY21'!P21*(1+MYP!$G$8)</f>
        <v>0</v>
      </c>
      <c r="Q21" s="100"/>
      <c r="R21" s="41"/>
      <c r="S21" s="62">
        <f t="shared" ref="S21" si="7">SUM(E21:Q21)</f>
        <v>12735.447899999997</v>
      </c>
      <c r="T21" s="41"/>
      <c r="U21" s="41">
        <f>'FY21'!S21</f>
        <v>11737.739999999998</v>
      </c>
      <c r="V21" s="41">
        <f t="shared" ref="V21" si="8">S21-U21</f>
        <v>997.70789999999943</v>
      </c>
      <c r="W21" s="39"/>
    </row>
    <row r="22" spans="1:23" s="37" customFormat="1" ht="12" x14ac:dyDescent="0.2">
      <c r="A22" s="45"/>
      <c r="C22" s="38"/>
      <c r="E22" s="50">
        <f>SUBTOTAL(9,E19:E21)</f>
        <v>0</v>
      </c>
      <c r="F22" s="50">
        <f t="shared" ref="F22:P22" si="9">SUBTOTAL(9,F19:F21)</f>
        <v>0</v>
      </c>
      <c r="G22" s="50">
        <f t="shared" si="9"/>
        <v>0</v>
      </c>
      <c r="H22" s="50">
        <f t="shared" si="9"/>
        <v>0</v>
      </c>
      <c r="I22" s="50">
        <f t="shared" si="9"/>
        <v>0</v>
      </c>
      <c r="J22" s="50">
        <f t="shared" si="9"/>
        <v>8537.7239499999996</v>
      </c>
      <c r="K22" s="50">
        <f t="shared" si="9"/>
        <v>8920.869999999999</v>
      </c>
      <c r="L22" s="50">
        <f t="shared" si="9"/>
        <v>0</v>
      </c>
      <c r="M22" s="50">
        <f t="shared" si="9"/>
        <v>0</v>
      </c>
      <c r="N22" s="50">
        <f t="shared" si="9"/>
        <v>0</v>
      </c>
      <c r="O22" s="50">
        <f t="shared" si="9"/>
        <v>9622.7239499999996</v>
      </c>
      <c r="P22" s="50">
        <f t="shared" si="9"/>
        <v>11151.0875</v>
      </c>
      <c r="Q22" s="99"/>
      <c r="R22" s="41"/>
      <c r="S22" s="61">
        <f>SUBTOTAL(9,S19:S21)</f>
        <v>38232.405399999996</v>
      </c>
      <c r="T22" s="41"/>
      <c r="U22" s="50">
        <f>SUBTOTAL(9,U19:U21)</f>
        <v>35237.24</v>
      </c>
      <c r="V22" s="50">
        <f>SUBTOTAL(9,V19:V21)</f>
        <v>2995.1653999999962</v>
      </c>
      <c r="W22" s="39"/>
    </row>
    <row r="23" spans="1:23" s="37" customFormat="1" ht="12" x14ac:dyDescent="0.2">
      <c r="A23" s="45"/>
      <c r="C23" s="49" t="s">
        <v>150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100"/>
      <c r="R23" s="41"/>
      <c r="S23" s="62"/>
      <c r="T23" s="41"/>
      <c r="U23" s="41"/>
      <c r="V23" s="41"/>
      <c r="W23" s="39"/>
    </row>
    <row r="24" spans="1:23" s="37" customFormat="1" ht="12" x14ac:dyDescent="0.2">
      <c r="A24" s="45"/>
      <c r="C24" s="199">
        <v>1790</v>
      </c>
      <c r="D24" s="37" t="s">
        <v>4</v>
      </c>
      <c r="E24" s="362">
        <f>+'FY21'!E24*(1+MYP!$G$8)</f>
        <v>0</v>
      </c>
      <c r="F24" s="362">
        <f>+'FY21'!F24*(1+MYP!$G$8)</f>
        <v>0</v>
      </c>
      <c r="G24" s="362">
        <f>+'FY21'!G24*(1+MYP!$G$8)</f>
        <v>0</v>
      </c>
      <c r="H24" s="362">
        <f>+'FY21'!H24*(1+MYP!$G$8)</f>
        <v>97259.4</v>
      </c>
      <c r="I24" s="362">
        <f>+'FY21'!I24*(1+MYP!$G$8)</f>
        <v>0</v>
      </c>
      <c r="J24" s="362">
        <f>+'FY21'!J24*(1+MYP!$G$8)</f>
        <v>0</v>
      </c>
      <c r="K24" s="362">
        <f>+'FY21'!K24*(1+MYP!$G$8)</f>
        <v>97259.4</v>
      </c>
      <c r="L24" s="362">
        <f>+'FY21'!L24*(1+MYP!$G$8)</f>
        <v>0</v>
      </c>
      <c r="M24" s="362">
        <f>+'FY21'!M24*(1+MYP!$G$8)</f>
        <v>0</v>
      </c>
      <c r="N24" s="362">
        <f>+'FY21'!N24*(1+MYP!$G$8)</f>
        <v>97259.4</v>
      </c>
      <c r="O24" s="362">
        <f>+'FY21'!O24*(1+MYP!$G$8)</f>
        <v>0</v>
      </c>
      <c r="P24" s="362">
        <f>+'FY21'!P24*(1+MYP!$G$8)</f>
        <v>97259.4</v>
      </c>
      <c r="Q24" s="100"/>
      <c r="R24" s="41"/>
      <c r="S24" s="59">
        <f>SUM(E24:Q24)</f>
        <v>389037.6</v>
      </c>
      <c r="T24" s="41"/>
      <c r="U24" s="39">
        <f>'FY21'!S24</f>
        <v>358560</v>
      </c>
      <c r="V24" s="39">
        <f>S24-U24</f>
        <v>30477.599999999977</v>
      </c>
      <c r="W24" s="39"/>
    </row>
    <row r="25" spans="1:23" s="37" customFormat="1" ht="12" x14ac:dyDescent="0.2">
      <c r="A25" s="45"/>
      <c r="C25" s="38"/>
      <c r="E25" s="50">
        <f>SUBTOTAL(9,E24)</f>
        <v>0</v>
      </c>
      <c r="F25" s="50">
        <f t="shared" ref="F25:S25" si="10">SUBTOTAL(9,F24)</f>
        <v>0</v>
      </c>
      <c r="G25" s="50">
        <f t="shared" si="10"/>
        <v>0</v>
      </c>
      <c r="H25" s="50">
        <f t="shared" si="10"/>
        <v>97259.4</v>
      </c>
      <c r="I25" s="50">
        <f t="shared" si="10"/>
        <v>0</v>
      </c>
      <c r="J25" s="50">
        <f t="shared" si="10"/>
        <v>0</v>
      </c>
      <c r="K25" s="50">
        <f t="shared" si="10"/>
        <v>97259.4</v>
      </c>
      <c r="L25" s="50">
        <f t="shared" si="10"/>
        <v>0</v>
      </c>
      <c r="M25" s="50">
        <f t="shared" si="10"/>
        <v>0</v>
      </c>
      <c r="N25" s="50">
        <f t="shared" si="10"/>
        <v>97259.4</v>
      </c>
      <c r="O25" s="50">
        <f t="shared" si="10"/>
        <v>0</v>
      </c>
      <c r="P25" s="50">
        <f t="shared" si="10"/>
        <v>97259.4</v>
      </c>
      <c r="Q25" s="99"/>
      <c r="R25" s="41"/>
      <c r="S25" s="61">
        <f t="shared" si="10"/>
        <v>389037.6</v>
      </c>
      <c r="T25" s="41"/>
      <c r="U25" s="50">
        <f t="shared" ref="U25" si="11">SUBTOTAL(9,U24)</f>
        <v>358560</v>
      </c>
      <c r="V25" s="50">
        <f t="shared" ref="V25" si="12">SUBTOTAL(9,V24)</f>
        <v>30477.599999999977</v>
      </c>
      <c r="W25" s="39"/>
    </row>
    <row r="26" spans="1:23" s="37" customFormat="1" ht="9" customHeight="1" x14ac:dyDescent="0.2">
      <c r="A26" s="45"/>
      <c r="C26" s="38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100"/>
      <c r="R26" s="41"/>
      <c r="S26" s="59"/>
      <c r="T26" s="41"/>
      <c r="U26" s="39"/>
      <c r="V26" s="39"/>
      <c r="W26" s="39"/>
    </row>
    <row r="27" spans="1:23" s="45" customFormat="1" ht="12" x14ac:dyDescent="0.2">
      <c r="A27" s="45" t="s">
        <v>105</v>
      </c>
      <c r="C27" s="46"/>
      <c r="E27" s="43">
        <f t="shared" ref="E27:P27" si="13">SUBTOTAL(9,E8:E26)</f>
        <v>162880.19999999998</v>
      </c>
      <c r="F27" s="43">
        <f t="shared" si="13"/>
        <v>162880.19999999998</v>
      </c>
      <c r="G27" s="43">
        <f t="shared" si="13"/>
        <v>162880.19999999998</v>
      </c>
      <c r="H27" s="43">
        <f t="shared" si="13"/>
        <v>260139.59999999998</v>
      </c>
      <c r="I27" s="43">
        <f t="shared" si="13"/>
        <v>162880.19999999998</v>
      </c>
      <c r="J27" s="43">
        <f t="shared" si="13"/>
        <v>171417.92394999997</v>
      </c>
      <c r="K27" s="43">
        <f t="shared" si="13"/>
        <v>269060.46999999997</v>
      </c>
      <c r="L27" s="43">
        <f t="shared" si="13"/>
        <v>162880.19999999998</v>
      </c>
      <c r="M27" s="43">
        <f t="shared" si="13"/>
        <v>162880.19999999998</v>
      </c>
      <c r="N27" s="43">
        <f t="shared" si="13"/>
        <v>260139.59999999998</v>
      </c>
      <c r="O27" s="43">
        <f t="shared" si="13"/>
        <v>172502.92394999997</v>
      </c>
      <c r="P27" s="43">
        <f t="shared" si="13"/>
        <v>271284.17229199997</v>
      </c>
      <c r="Q27" s="196"/>
      <c r="R27" s="48"/>
      <c r="S27" s="60">
        <f>SUBTOTAL(9,S8:S26)</f>
        <v>2381825.8901920002</v>
      </c>
      <c r="T27" s="48"/>
      <c r="U27" s="43">
        <f>SUBTOTAL(9,U8:U26)</f>
        <v>2195231.2352</v>
      </c>
      <c r="V27" s="43">
        <f>SUBTOTAL(9,V8:V26)</f>
        <v>186594.65499200023</v>
      </c>
      <c r="W27" s="40"/>
    </row>
    <row r="28" spans="1:23" s="45" customFormat="1" ht="12" x14ac:dyDescent="0.2">
      <c r="C28" s="46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100"/>
      <c r="R28" s="48"/>
      <c r="S28" s="59"/>
      <c r="T28" s="48"/>
      <c r="U28" s="40"/>
      <c r="V28" s="40"/>
      <c r="W28" s="40"/>
    </row>
    <row r="29" spans="1:23" s="37" customFormat="1" ht="12" x14ac:dyDescent="0.2">
      <c r="A29" s="45" t="s">
        <v>59</v>
      </c>
      <c r="C29" s="3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44"/>
      <c r="R29" s="41"/>
      <c r="S29" s="59"/>
      <c r="T29" s="41"/>
      <c r="U29" s="39"/>
      <c r="V29" s="39"/>
      <c r="W29" s="39"/>
    </row>
    <row r="30" spans="1:23" s="37" customFormat="1" ht="12" x14ac:dyDescent="0.2">
      <c r="C30" s="49" t="s">
        <v>8</v>
      </c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44"/>
      <c r="R30" s="41"/>
      <c r="S30" s="59"/>
      <c r="T30" s="41"/>
      <c r="U30" s="39"/>
      <c r="V30" s="39"/>
      <c r="W30" s="39"/>
    </row>
    <row r="31" spans="1:23" s="37" customFormat="1" ht="12" x14ac:dyDescent="0.2">
      <c r="C31" s="199">
        <v>6111</v>
      </c>
      <c r="D31" s="37" t="s">
        <v>191</v>
      </c>
      <c r="E31" s="39">
        <f>+'FY21'!E31*(1+MYP!$G$9)</f>
        <v>0</v>
      </c>
      <c r="F31" s="39">
        <f>+'FY21'!F31*(1+MYP!$G$9)</f>
        <v>0</v>
      </c>
      <c r="G31" s="39">
        <f>+'FY21'!G31*(1+MYP!$G$9)</f>
        <v>0</v>
      </c>
      <c r="H31" s="39">
        <f>+'FY21'!H31*(1+MYP!$G$9)</f>
        <v>0</v>
      </c>
      <c r="I31" s="39">
        <f>+'FY21'!I31*(1+MYP!$G$9)</f>
        <v>0</v>
      </c>
      <c r="J31" s="39">
        <f>+'FY21'!J31*(1+MYP!$G$9)</f>
        <v>0</v>
      </c>
      <c r="K31" s="39">
        <f>+'FY21'!K31*(1+MYP!$G$9)</f>
        <v>0</v>
      </c>
      <c r="L31" s="39">
        <f>+'FY21'!L31*(1+MYP!$G$9)</f>
        <v>0</v>
      </c>
      <c r="M31" s="39">
        <f>+'FY21'!M31*(1+MYP!$G$9)</f>
        <v>0</v>
      </c>
      <c r="N31" s="39">
        <f>+'FY21'!N31*(1+MYP!$G$9)</f>
        <v>0</v>
      </c>
      <c r="O31" s="39">
        <f>+'FY21'!O31*(1+MYP!$G$9)</f>
        <v>0</v>
      </c>
      <c r="P31" s="39">
        <f>+'FY21'!P31*(1+MYP!$G$9)</f>
        <v>0</v>
      </c>
      <c r="Q31" s="100"/>
      <c r="R31" s="41"/>
      <c r="S31" s="59">
        <f t="shared" ref="S31:S40" si="14">SUM(E31:Q31)</f>
        <v>0</v>
      </c>
      <c r="T31" s="41"/>
      <c r="U31" s="39">
        <f>'FY21'!S31</f>
        <v>0</v>
      </c>
      <c r="V31" s="39">
        <f>U31-S31</f>
        <v>0</v>
      </c>
      <c r="W31" s="39"/>
    </row>
    <row r="32" spans="1:23" s="37" customFormat="1" ht="12" x14ac:dyDescent="0.2">
      <c r="C32" s="199">
        <v>6114</v>
      </c>
      <c r="D32" s="37" t="s">
        <v>192</v>
      </c>
      <c r="E32" s="39">
        <f>+'FY21'!E32*(1+MYP!$G$9)</f>
        <v>41890.354500000001</v>
      </c>
      <c r="F32" s="39">
        <f>+'FY21'!F32*(1+MYP!$G$9)</f>
        <v>41890.354500000001</v>
      </c>
      <c r="G32" s="39">
        <f>+'FY21'!G32*(1+MYP!$G$9)</f>
        <v>41890.354500000001</v>
      </c>
      <c r="H32" s="39">
        <f>+'FY21'!H32*(1+MYP!$G$9)</f>
        <v>41890.354500000001</v>
      </c>
      <c r="I32" s="39">
        <f>+'FY21'!I32*(1+MYP!$G$9)</f>
        <v>41890.354500000001</v>
      </c>
      <c r="J32" s="39">
        <f>+'FY21'!J32*(1+MYP!$G$9)</f>
        <v>41890.354500000001</v>
      </c>
      <c r="K32" s="39">
        <f>+'FY21'!K32*(1+MYP!$G$9)</f>
        <v>41890.354500000001</v>
      </c>
      <c r="L32" s="39">
        <f>+'FY21'!L32*(1+MYP!$G$9)</f>
        <v>41890.354500000001</v>
      </c>
      <c r="M32" s="39">
        <f>+'FY21'!M32*(1+MYP!$G$9)</f>
        <v>41890.354500000001</v>
      </c>
      <c r="N32" s="39">
        <f>+'FY21'!N32*(1+MYP!$G$9)</f>
        <v>41890.354500000001</v>
      </c>
      <c r="O32" s="39">
        <f>+'FY21'!O32*(1+MYP!$G$9)</f>
        <v>41890.354500000001</v>
      </c>
      <c r="P32" s="39">
        <f>+'FY21'!P32*(1+MYP!$G$9)</f>
        <v>41890.354500000001</v>
      </c>
      <c r="Q32" s="100"/>
      <c r="R32" s="41"/>
      <c r="S32" s="59">
        <f t="shared" si="14"/>
        <v>502684.25400000013</v>
      </c>
      <c r="T32" s="41"/>
      <c r="U32" s="39">
        <f>'FY21'!S32</f>
        <v>492827.6999999999</v>
      </c>
      <c r="V32" s="39">
        <f t="shared" ref="V32:V40" si="15">U32-S32</f>
        <v>-9856.5540000002366</v>
      </c>
      <c r="W32" s="39"/>
    </row>
    <row r="33" spans="3:23" s="37" customFormat="1" ht="12" x14ac:dyDescent="0.2">
      <c r="C33" s="199">
        <v>6117</v>
      </c>
      <c r="D33" s="37" t="s">
        <v>228</v>
      </c>
      <c r="E33" s="654">
        <f>+'FY21'!E33*(1+MYP!$G$9)+4900</f>
        <v>53545.269565000002</v>
      </c>
      <c r="F33" s="654">
        <f>+'FY21'!F33*(1+MYP!$G$9)+4900</f>
        <v>56299.269565000002</v>
      </c>
      <c r="G33" s="654">
        <f>+'FY21'!G33*(1+MYP!$G$9)+4900</f>
        <v>53545.269565000002</v>
      </c>
      <c r="H33" s="654">
        <f>+'FY21'!H33*(1+MYP!$G$9)+4900</f>
        <v>56299.269565000002</v>
      </c>
      <c r="I33" s="654">
        <f>+'FY21'!I33*(1+MYP!$G$9)+4900</f>
        <v>53545.269565000002</v>
      </c>
      <c r="J33" s="654">
        <f>+'FY21'!J33*(1+MYP!$G$9)+4900</f>
        <v>53545.269565000002</v>
      </c>
      <c r="K33" s="654">
        <f>+'FY21'!K33*(1+MYP!$G$9)+4900</f>
        <v>56299.269565000002</v>
      </c>
      <c r="L33" s="654">
        <f>+'FY21'!L33*(1+MYP!$G$9)+4900</f>
        <v>53545.269565000002</v>
      </c>
      <c r="M33" s="654">
        <f>+'FY21'!M33*(1+MYP!$G$9)+4900</f>
        <v>53545.269565000002</v>
      </c>
      <c r="N33" s="654">
        <f>+'FY21'!N33*(1+MYP!$G$9)+4900</f>
        <v>56299.269565000002</v>
      </c>
      <c r="O33" s="654">
        <f>+'FY21'!O33*(1+MYP!$G$9)+4900</f>
        <v>56299.269565000002</v>
      </c>
      <c r="P33" s="654">
        <f>+'FY21'!P33*(1+MYP!$G$9)+4900</f>
        <v>53545.269565000002</v>
      </c>
      <c r="Q33" s="100"/>
      <c r="R33" s="41"/>
      <c r="S33" s="59">
        <f t="shared" si="14"/>
        <v>656313.23478000006</v>
      </c>
      <c r="T33" s="41"/>
      <c r="U33" s="39">
        <f>'FY21'!S33</f>
        <v>585797.28899999999</v>
      </c>
      <c r="V33" s="39">
        <f t="shared" si="15"/>
        <v>-70515.945780000067</v>
      </c>
      <c r="W33" s="39"/>
    </row>
    <row r="34" spans="3:23" s="37" customFormat="1" ht="12" x14ac:dyDescent="0.2">
      <c r="C34" s="199">
        <v>6127</v>
      </c>
      <c r="D34" s="37" t="s">
        <v>229</v>
      </c>
      <c r="E34" s="39">
        <f>+'FY21'!E34*(1+MYP!$G$9)</f>
        <v>3005.6</v>
      </c>
      <c r="F34" s="39">
        <f>+'FY21'!F34*(1+MYP!$G$9)</f>
        <v>3005.6</v>
      </c>
      <c r="G34" s="39">
        <f>+'FY21'!G34*(1+MYP!$G$9)</f>
        <v>3005.6</v>
      </c>
      <c r="H34" s="39">
        <f>+'FY21'!H34*(1+MYP!$G$9)</f>
        <v>3005.6</v>
      </c>
      <c r="I34" s="39">
        <f>+'FY21'!I34*(1+MYP!$G$9)</f>
        <v>3005.6</v>
      </c>
      <c r="J34" s="39">
        <f>+'FY21'!J34*(1+MYP!$G$9)</f>
        <v>3005.6</v>
      </c>
      <c r="K34" s="39">
        <f>+'FY21'!K34*(1+MYP!$G$9)</f>
        <v>3005.6</v>
      </c>
      <c r="L34" s="39">
        <f>+'FY21'!L34*(1+MYP!$G$9)</f>
        <v>3005.6</v>
      </c>
      <c r="M34" s="39">
        <f>+'FY21'!M34*(1+MYP!$G$9)</f>
        <v>3005.6</v>
      </c>
      <c r="N34" s="39">
        <f>+'FY21'!N34*(1+MYP!$G$9)</f>
        <v>3005.6</v>
      </c>
      <c r="O34" s="39">
        <f>+'FY21'!O34*(1+MYP!$G$9)</f>
        <v>3005.6</v>
      </c>
      <c r="P34" s="39">
        <f>+'FY21'!P34*(1+MYP!$G$9)</f>
        <v>3005.6</v>
      </c>
      <c r="Q34" s="100"/>
      <c r="R34" s="41"/>
      <c r="S34" s="59">
        <f t="shared" si="14"/>
        <v>36067.19999999999</v>
      </c>
      <c r="T34" s="41"/>
      <c r="U34" s="39">
        <f>'FY21'!S34</f>
        <v>35360.000000000007</v>
      </c>
      <c r="V34" s="39">
        <f t="shared" si="15"/>
        <v>-707.19999999998254</v>
      </c>
      <c r="W34" s="39"/>
    </row>
    <row r="35" spans="3:23" s="37" customFormat="1" ht="12" x14ac:dyDescent="0.2">
      <c r="C35" s="199">
        <v>6151</v>
      </c>
      <c r="D35" s="37" t="s">
        <v>189</v>
      </c>
      <c r="E35" s="39">
        <f>+'FY21'!E35*(1+MYP!$G$9)</f>
        <v>0</v>
      </c>
      <c r="F35" s="39">
        <f>+'FY21'!F35*(1+MYP!$G$9)</f>
        <v>0</v>
      </c>
      <c r="G35" s="39">
        <f>+'FY21'!G35*(1+MYP!$G$9)</f>
        <v>0</v>
      </c>
      <c r="H35" s="39">
        <f>+'FY21'!H35*(1+MYP!$G$9)</f>
        <v>0</v>
      </c>
      <c r="I35" s="39">
        <f>+'FY21'!I35*(1+MYP!$G$9)</f>
        <v>0</v>
      </c>
      <c r="J35" s="39">
        <f>+'FY21'!J35*(1+MYP!$G$9)</f>
        <v>0</v>
      </c>
      <c r="K35" s="39">
        <f>+'FY21'!K35*(1+MYP!$G$9)</f>
        <v>0</v>
      </c>
      <c r="L35" s="39">
        <f>+'FY21'!L35*(1+MYP!$G$9)</f>
        <v>0</v>
      </c>
      <c r="M35" s="39">
        <f>+'FY21'!M35*(1+MYP!$G$9)</f>
        <v>0</v>
      </c>
      <c r="N35" s="39">
        <f>+'FY21'!N35*(1+MYP!$G$9)</f>
        <v>0</v>
      </c>
      <c r="O35" s="39">
        <f>+'FY21'!O35*(1+MYP!$G$9)</f>
        <v>0</v>
      </c>
      <c r="P35" s="39">
        <f>+'FY21'!P35*(1+MYP!$G$9)</f>
        <v>0</v>
      </c>
      <c r="Q35" s="100"/>
      <c r="R35" s="41"/>
      <c r="S35" s="59">
        <f t="shared" si="14"/>
        <v>0</v>
      </c>
      <c r="T35" s="41"/>
      <c r="U35" s="39">
        <f>'FY21'!S35</f>
        <v>0</v>
      </c>
      <c r="V35" s="39">
        <f t="shared" si="15"/>
        <v>0</v>
      </c>
      <c r="W35" s="39"/>
    </row>
    <row r="36" spans="3:23" s="37" customFormat="1" ht="12" x14ac:dyDescent="0.2">
      <c r="C36" s="199">
        <v>6154</v>
      </c>
      <c r="D36" s="37" t="s">
        <v>190</v>
      </c>
      <c r="E36" s="39">
        <f>+'FY21'!E36*(1+MYP!$G$9)</f>
        <v>0</v>
      </c>
      <c r="F36" s="39">
        <f>+'FY21'!F36*(1+MYP!$G$9)</f>
        <v>0</v>
      </c>
      <c r="G36" s="39">
        <f>+'FY21'!G36*(1+MYP!$G$9)</f>
        <v>0</v>
      </c>
      <c r="H36" s="39">
        <f>+'FY21'!H36*(1+MYP!$G$9)</f>
        <v>0</v>
      </c>
      <c r="I36" s="39">
        <f>+'FY21'!I36*(1+MYP!$G$9)</f>
        <v>765</v>
      </c>
      <c r="J36" s="39">
        <f>+'FY21'!J36*(1+MYP!$G$9)</f>
        <v>765</v>
      </c>
      <c r="K36" s="39">
        <f>+'FY21'!K36*(1+MYP!$G$9)</f>
        <v>765</v>
      </c>
      <c r="L36" s="39">
        <f>+'FY21'!L36*(1+MYP!$G$9)</f>
        <v>765</v>
      </c>
      <c r="M36" s="39">
        <f>+'FY21'!M36*(1+MYP!$G$9)</f>
        <v>0</v>
      </c>
      <c r="N36" s="39">
        <f>+'FY21'!N36*(1+MYP!$G$9)</f>
        <v>0</v>
      </c>
      <c r="O36" s="39">
        <f>+'FY21'!O36*(1+MYP!$G$9)</f>
        <v>765</v>
      </c>
      <c r="P36" s="39">
        <f>+'FY21'!P36*(1+MYP!$G$9)</f>
        <v>24990</v>
      </c>
      <c r="Q36" s="100"/>
      <c r="R36" s="41"/>
      <c r="S36" s="59">
        <f t="shared" si="14"/>
        <v>28815</v>
      </c>
      <c r="T36" s="41"/>
      <c r="U36" s="39">
        <f>'FY21'!S36</f>
        <v>28250</v>
      </c>
      <c r="V36" s="39">
        <f t="shared" si="15"/>
        <v>-565</v>
      </c>
      <c r="W36" s="39"/>
    </row>
    <row r="37" spans="3:23" s="37" customFormat="1" ht="12" x14ac:dyDescent="0.2">
      <c r="C37" s="199">
        <v>6157</v>
      </c>
      <c r="D37" s="37" t="s">
        <v>230</v>
      </c>
      <c r="E37" s="39">
        <f>+'FY21'!E37*(1+MYP!$G$9)</f>
        <v>0</v>
      </c>
      <c r="F37" s="39">
        <f>+'FY21'!F37*(1+MYP!$G$9)</f>
        <v>1713.6000000000001</v>
      </c>
      <c r="G37" s="39">
        <f>+'FY21'!G37*(1+MYP!$G$9)</f>
        <v>4443.12</v>
      </c>
      <c r="H37" s="39">
        <f>+'FY21'!H37*(1+MYP!$G$9)</f>
        <v>4534.92</v>
      </c>
      <c r="I37" s="39">
        <f>+'FY21'!I37*(1+MYP!$G$9)</f>
        <v>5299.92</v>
      </c>
      <c r="J37" s="39">
        <f>+'FY21'!J37*(1+MYP!$G$9)</f>
        <v>2821.32</v>
      </c>
      <c r="K37" s="39">
        <f>+'FY21'!K37*(1+MYP!$G$9)</f>
        <v>2821.32</v>
      </c>
      <c r="L37" s="39">
        <f>+'FY21'!L37*(1+MYP!$G$9)</f>
        <v>1964.52</v>
      </c>
      <c r="M37" s="39">
        <f>+'FY21'!M37*(1+MYP!$G$9)</f>
        <v>4443.12</v>
      </c>
      <c r="N37" s="39">
        <f>+'FY21'!N37*(1+MYP!$G$9)</f>
        <v>3678.12</v>
      </c>
      <c r="O37" s="39">
        <f>+'FY21'!O37*(1+MYP!$G$9)</f>
        <v>4192.2</v>
      </c>
      <c r="P37" s="39">
        <f>+'FY21'!P37*(1+MYP!$G$9)</f>
        <v>0</v>
      </c>
      <c r="Q37" s="100"/>
      <c r="R37" s="41"/>
      <c r="S37" s="59">
        <f t="shared" si="14"/>
        <v>35912.159999999996</v>
      </c>
      <c r="T37" s="41"/>
      <c r="U37" s="39">
        <f>'FY21'!S37</f>
        <v>35208</v>
      </c>
      <c r="V37" s="39">
        <f t="shared" si="15"/>
        <v>-704.15999999999622</v>
      </c>
      <c r="W37" s="39"/>
    </row>
    <row r="38" spans="3:23" s="37" customFormat="1" ht="12" x14ac:dyDescent="0.2">
      <c r="C38" s="199">
        <v>6161</v>
      </c>
      <c r="D38" s="37" t="s">
        <v>97</v>
      </c>
      <c r="E38" s="39">
        <f>+'FY21'!E38*(1+MYP!$G$9)</f>
        <v>0</v>
      </c>
      <c r="F38" s="39">
        <f>+'FY21'!F38*(1+MYP!$G$9)</f>
        <v>0</v>
      </c>
      <c r="G38" s="39">
        <f>+'FY21'!G38*(1+MYP!$G$9)</f>
        <v>0</v>
      </c>
      <c r="H38" s="39">
        <f>+'FY21'!H38*(1+MYP!$G$9)</f>
        <v>0</v>
      </c>
      <c r="I38" s="39">
        <f>+'FY21'!I38*(1+MYP!$G$9)</f>
        <v>0</v>
      </c>
      <c r="J38" s="39">
        <f>+'FY21'!J38*(1+MYP!$G$9)</f>
        <v>0</v>
      </c>
      <c r="K38" s="39">
        <f>+'FY21'!K38*(1+MYP!$G$9)</f>
        <v>0</v>
      </c>
      <c r="L38" s="39">
        <f>+'FY21'!L38*(1+MYP!$G$9)</f>
        <v>0</v>
      </c>
      <c r="M38" s="39">
        <f>+'FY21'!M38*(1+MYP!$G$9)</f>
        <v>0</v>
      </c>
      <c r="N38" s="39">
        <f>+'FY21'!N38*(1+MYP!$G$9)</f>
        <v>0</v>
      </c>
      <c r="O38" s="39">
        <f>+'FY21'!O38*(1+MYP!$G$9)</f>
        <v>0</v>
      </c>
      <c r="P38" s="39">
        <f>+'FY21'!P38*(1+MYP!$G$9)</f>
        <v>0</v>
      </c>
      <c r="Q38" s="100"/>
      <c r="R38" s="41"/>
      <c r="S38" s="59">
        <f t="shared" si="14"/>
        <v>0</v>
      </c>
      <c r="T38" s="41"/>
      <c r="U38" s="39">
        <f>'FY21'!S38</f>
        <v>0</v>
      </c>
      <c r="V38" s="39">
        <f t="shared" si="15"/>
        <v>0</v>
      </c>
      <c r="W38" s="39"/>
    </row>
    <row r="39" spans="3:23" s="37" customFormat="1" ht="12" x14ac:dyDescent="0.2">
      <c r="C39" s="199">
        <v>6164</v>
      </c>
      <c r="D39" s="37" t="s">
        <v>98</v>
      </c>
      <c r="E39" s="39">
        <f>+'FY21'!E39*(1+MYP!$G$9)</f>
        <v>0</v>
      </c>
      <c r="F39" s="39">
        <f>+'FY21'!F39*(1+MYP!$G$9)</f>
        <v>0</v>
      </c>
      <c r="G39" s="39">
        <f>+'FY21'!G39*(1+MYP!$G$9)</f>
        <v>765</v>
      </c>
      <c r="H39" s="39">
        <f>+'FY21'!H39*(1+MYP!$G$9)</f>
        <v>1020</v>
      </c>
      <c r="I39" s="39">
        <f>+'FY21'!I39*(1+MYP!$G$9)</f>
        <v>765</v>
      </c>
      <c r="J39" s="39">
        <f>+'FY21'!J39*(1+MYP!$G$9)</f>
        <v>1275</v>
      </c>
      <c r="K39" s="39">
        <f>+'FY21'!K39*(1+MYP!$G$9)</f>
        <v>1275</v>
      </c>
      <c r="L39" s="39">
        <f>+'FY21'!L39*(1+MYP!$G$9)</f>
        <v>2040</v>
      </c>
      <c r="M39" s="39">
        <f>+'FY21'!M39*(1+MYP!$G$9)</f>
        <v>2295</v>
      </c>
      <c r="N39" s="39">
        <f>+'FY21'!N39*(1+MYP!$G$9)</f>
        <v>2040</v>
      </c>
      <c r="O39" s="39">
        <f>+'FY21'!O39*(1+MYP!$G$9)</f>
        <v>1275</v>
      </c>
      <c r="P39" s="39">
        <f>+'FY21'!P39*(1+MYP!$G$9)</f>
        <v>0</v>
      </c>
      <c r="Q39" s="100"/>
      <c r="R39" s="41"/>
      <c r="S39" s="59">
        <f t="shared" si="14"/>
        <v>12750</v>
      </c>
      <c r="T39" s="41"/>
      <c r="U39" s="39">
        <f>'FY21'!S39</f>
        <v>12500</v>
      </c>
      <c r="V39" s="39">
        <f t="shared" si="15"/>
        <v>-250</v>
      </c>
      <c r="W39" s="39"/>
    </row>
    <row r="40" spans="3:23" s="37" customFormat="1" ht="12" x14ac:dyDescent="0.2">
      <c r="C40" s="199">
        <v>6167</v>
      </c>
      <c r="D40" s="37" t="s">
        <v>231</v>
      </c>
      <c r="E40" s="39">
        <f>+'FY21'!E40*(1+MYP!$G$9)</f>
        <v>0</v>
      </c>
      <c r="F40" s="39">
        <f>+'FY21'!F40*(1+MYP!$G$9)</f>
        <v>0</v>
      </c>
      <c r="G40" s="39">
        <f>+'FY21'!G40*(1+MYP!$G$9)</f>
        <v>0</v>
      </c>
      <c r="H40" s="39">
        <f>+'FY21'!H40*(1+MYP!$G$9)</f>
        <v>0</v>
      </c>
      <c r="I40" s="39">
        <f>+'FY21'!I40*(1+MYP!$G$9)</f>
        <v>0</v>
      </c>
      <c r="J40" s="39">
        <f>+'FY21'!J40*(1+MYP!$G$9)</f>
        <v>510</v>
      </c>
      <c r="K40" s="39">
        <f>+'FY21'!K40*(1+MYP!$G$9)</f>
        <v>510</v>
      </c>
      <c r="L40" s="39">
        <f>+'FY21'!L40*(1+MYP!$G$9)</f>
        <v>510</v>
      </c>
      <c r="M40" s="39">
        <f>+'FY21'!M40*(1+MYP!$G$9)</f>
        <v>510</v>
      </c>
      <c r="N40" s="39">
        <f>+'FY21'!N40*(1+MYP!$G$9)</f>
        <v>510</v>
      </c>
      <c r="O40" s="39">
        <f>+'FY21'!O40*(1+MYP!$G$9)</f>
        <v>0</v>
      </c>
      <c r="P40" s="39">
        <f>+'FY21'!P40*(1+MYP!$G$9)</f>
        <v>0</v>
      </c>
      <c r="Q40" s="100"/>
      <c r="R40" s="41"/>
      <c r="S40" s="59">
        <f t="shared" si="14"/>
        <v>2550</v>
      </c>
      <c r="T40" s="41"/>
      <c r="U40" s="39">
        <f>'FY21'!S40</f>
        <v>2500</v>
      </c>
      <c r="V40" s="39">
        <f t="shared" si="15"/>
        <v>-50</v>
      </c>
      <c r="W40" s="39"/>
    </row>
    <row r="41" spans="3:23" s="37" customFormat="1" ht="12" x14ac:dyDescent="0.2">
      <c r="C41" s="38"/>
      <c r="E41" s="50">
        <f t="shared" ref="E41:P41" si="16">SUBTOTAL(9,E31:E40)</f>
        <v>98441.224065000017</v>
      </c>
      <c r="F41" s="50">
        <f t="shared" si="16"/>
        <v>102908.82406500002</v>
      </c>
      <c r="G41" s="50">
        <f t="shared" si="16"/>
        <v>103649.34406500001</v>
      </c>
      <c r="H41" s="50">
        <f t="shared" si="16"/>
        <v>106750.14406500001</v>
      </c>
      <c r="I41" s="50">
        <f t="shared" si="16"/>
        <v>105271.14406500001</v>
      </c>
      <c r="J41" s="50">
        <f t="shared" si="16"/>
        <v>103812.54406500002</v>
      </c>
      <c r="K41" s="50">
        <f t="shared" si="16"/>
        <v>106566.54406500002</v>
      </c>
      <c r="L41" s="50">
        <f t="shared" si="16"/>
        <v>103720.74406500002</v>
      </c>
      <c r="M41" s="50">
        <f t="shared" si="16"/>
        <v>105689.34406500001</v>
      </c>
      <c r="N41" s="50">
        <f t="shared" si="16"/>
        <v>107423.34406500001</v>
      </c>
      <c r="O41" s="50">
        <f t="shared" si="16"/>
        <v>107427.42406500001</v>
      </c>
      <c r="P41" s="50">
        <f t="shared" si="16"/>
        <v>123431.22406500002</v>
      </c>
      <c r="Q41" s="51"/>
      <c r="R41" s="41"/>
      <c r="S41" s="61">
        <f>SUBTOTAL(9,S31:S40)</f>
        <v>1275091.8487800001</v>
      </c>
      <c r="T41" s="41"/>
      <c r="U41" s="50">
        <f>SUBTOTAL(9,U31:U40)</f>
        <v>1192442.9889999998</v>
      </c>
      <c r="V41" s="50">
        <f>SUBTOTAL(9,V31:V40)</f>
        <v>-82648.85978000029</v>
      </c>
      <c r="W41" s="39"/>
    </row>
    <row r="42" spans="3:23" s="37" customFormat="1" ht="12" x14ac:dyDescent="0.2">
      <c r="C42" s="49" t="s">
        <v>99</v>
      </c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44"/>
      <c r="R42" s="41"/>
      <c r="S42" s="59"/>
      <c r="T42" s="41"/>
      <c r="U42" s="39"/>
      <c r="V42" s="39"/>
      <c r="W42" s="39"/>
    </row>
    <row r="43" spans="3:23" s="37" customFormat="1" ht="12" x14ac:dyDescent="0.2">
      <c r="C43" s="199">
        <v>6211</v>
      </c>
      <c r="D43" s="37" t="s">
        <v>198</v>
      </c>
      <c r="E43" s="39">
        <f>+'FY21'!E43*(1+MYP!$G$9)</f>
        <v>0</v>
      </c>
      <c r="F43" s="39">
        <f>+'FY21'!F43*(1+MYP!$G$9)</f>
        <v>0</v>
      </c>
      <c r="G43" s="39">
        <f>+'FY21'!G43*(1+MYP!$G$9)</f>
        <v>0</v>
      </c>
      <c r="H43" s="39">
        <f>+'FY21'!H43*(1+MYP!$G$9)</f>
        <v>0</v>
      </c>
      <c r="I43" s="39">
        <f>+'FY21'!I43*(1+MYP!$G$9)</f>
        <v>0</v>
      </c>
      <c r="J43" s="39">
        <f>+'FY21'!J43*(1+MYP!$G$9)</f>
        <v>0</v>
      </c>
      <c r="K43" s="39">
        <f>+'FY21'!K43*(1+MYP!$G$9)</f>
        <v>0</v>
      </c>
      <c r="L43" s="39">
        <f>+'FY21'!L43*(1+MYP!$G$9)</f>
        <v>0</v>
      </c>
      <c r="M43" s="39">
        <f>+'FY21'!M43*(1+MYP!$G$9)</f>
        <v>0</v>
      </c>
      <c r="N43" s="39">
        <f>+'FY21'!N43*(1+MYP!$G$9)</f>
        <v>0</v>
      </c>
      <c r="O43" s="39">
        <f>+'FY21'!O43*(1+MYP!$G$9)</f>
        <v>0</v>
      </c>
      <c r="P43" s="39">
        <f>+'FY21'!P43*(1+MYP!$G$9)</f>
        <v>0</v>
      </c>
      <c r="Q43" s="36"/>
      <c r="R43" s="41"/>
      <c r="S43" s="59">
        <f t="shared" ref="S43:S61" si="17">SUM(E43:Q43)</f>
        <v>0</v>
      </c>
      <c r="T43" s="41"/>
      <c r="U43" s="39">
        <f>'FY21'!S43</f>
        <v>0</v>
      </c>
      <c r="V43" s="39">
        <f t="shared" ref="V43:V61" si="18">U43-S43</f>
        <v>0</v>
      </c>
      <c r="W43" s="39"/>
    </row>
    <row r="44" spans="3:23" s="37" customFormat="1" ht="12" x14ac:dyDescent="0.2">
      <c r="C44" s="199">
        <v>6214</v>
      </c>
      <c r="D44" s="37" t="s">
        <v>199</v>
      </c>
      <c r="E44" s="39">
        <f>+'FY21'!E44*(1+MYP!$G$9)</f>
        <v>150.96</v>
      </c>
      <c r="F44" s="39">
        <f>+'FY21'!F44*(1+MYP!$G$9)</f>
        <v>150.96</v>
      </c>
      <c r="G44" s="39">
        <f>+'FY21'!G44*(1+MYP!$G$9)</f>
        <v>150.96</v>
      </c>
      <c r="H44" s="39">
        <f>+'FY21'!H44*(1+MYP!$G$9)</f>
        <v>150.96</v>
      </c>
      <c r="I44" s="39">
        <f>+'FY21'!I44*(1+MYP!$G$9)</f>
        <v>150.96</v>
      </c>
      <c r="J44" s="39">
        <f>+'FY21'!J44*(1+MYP!$G$9)</f>
        <v>150.96</v>
      </c>
      <c r="K44" s="39">
        <f>+'FY21'!K44*(1+MYP!$G$9)</f>
        <v>150.96</v>
      </c>
      <c r="L44" s="39">
        <f>+'FY21'!L44*(1+MYP!$G$9)</f>
        <v>150.96</v>
      </c>
      <c r="M44" s="39">
        <f>+'FY21'!M44*(1+MYP!$G$9)</f>
        <v>150.96</v>
      </c>
      <c r="N44" s="39">
        <f>+'FY21'!N44*(1+MYP!$G$9)</f>
        <v>150.96</v>
      </c>
      <c r="O44" s="39">
        <f>+'FY21'!O44*(1+MYP!$G$9)</f>
        <v>150.96</v>
      </c>
      <c r="P44" s="39">
        <f>+'FY21'!P44*(1+MYP!$G$9)</f>
        <v>150.96</v>
      </c>
      <c r="Q44" s="36"/>
      <c r="R44" s="41"/>
      <c r="S44" s="59">
        <f t="shared" si="17"/>
        <v>1811.5200000000002</v>
      </c>
      <c r="T44" s="41"/>
      <c r="U44" s="39">
        <f>'FY21'!S44</f>
        <v>1776</v>
      </c>
      <c r="V44" s="39">
        <f t="shared" si="18"/>
        <v>-35.520000000000209</v>
      </c>
      <c r="W44" s="39"/>
    </row>
    <row r="45" spans="3:23" s="37" customFormat="1" ht="12" x14ac:dyDescent="0.2">
      <c r="C45" s="199">
        <v>6217</v>
      </c>
      <c r="D45" s="37" t="s">
        <v>222</v>
      </c>
      <c r="E45" s="654">
        <f>+'FY21'!E45*(1+MYP!$G$9)+38</f>
        <v>339.92</v>
      </c>
      <c r="F45" s="654">
        <f>+'FY21'!F45*(1+MYP!$G$9)+38</f>
        <v>339.92</v>
      </c>
      <c r="G45" s="654">
        <f>+'FY21'!G45*(1+MYP!$G$9)+38</f>
        <v>339.92</v>
      </c>
      <c r="H45" s="654">
        <f>+'FY21'!H45*(1+MYP!$G$9)+38</f>
        <v>339.92</v>
      </c>
      <c r="I45" s="654">
        <f>+'FY21'!I45*(1+MYP!$G$9)+38</f>
        <v>339.92</v>
      </c>
      <c r="J45" s="654">
        <f>+'FY21'!J45*(1+MYP!$G$9)+38</f>
        <v>339.92</v>
      </c>
      <c r="K45" s="654">
        <f>+'FY21'!K45*(1+MYP!$G$9)+38</f>
        <v>339.92</v>
      </c>
      <c r="L45" s="654">
        <f>+'FY21'!L45*(1+MYP!$G$9)+38</f>
        <v>339.92</v>
      </c>
      <c r="M45" s="654">
        <f>+'FY21'!M45*(1+MYP!$G$9)+38</f>
        <v>339.92</v>
      </c>
      <c r="N45" s="654">
        <f>+'FY21'!N45*(1+MYP!$G$9)+38</f>
        <v>339.92</v>
      </c>
      <c r="O45" s="654">
        <f>+'FY21'!O45*(1+MYP!$G$9)+38</f>
        <v>339.92</v>
      </c>
      <c r="P45" s="654">
        <f>+'FY21'!P45*(1+MYP!$G$9)+38</f>
        <v>339.92</v>
      </c>
      <c r="Q45" s="36"/>
      <c r="R45" s="41"/>
      <c r="S45" s="59">
        <f t="shared" si="17"/>
        <v>4079.0400000000004</v>
      </c>
      <c r="T45" s="41"/>
      <c r="U45" s="39">
        <f>'FY21'!S45</f>
        <v>3552</v>
      </c>
      <c r="V45" s="39">
        <f>U45-S45</f>
        <v>-527.04000000000042</v>
      </c>
      <c r="W45" s="39"/>
    </row>
    <row r="46" spans="3:23" s="37" customFormat="1" ht="12" x14ac:dyDescent="0.2">
      <c r="C46" s="199">
        <v>6227</v>
      </c>
      <c r="D46" s="37" t="s">
        <v>221</v>
      </c>
      <c r="E46" s="39">
        <f>+'FY21'!E46*(1+MYP!$G$9)</f>
        <v>186.34719999999999</v>
      </c>
      <c r="F46" s="39">
        <f>+'FY21'!F46*(1+MYP!$G$9)</f>
        <v>186.34719999999999</v>
      </c>
      <c r="G46" s="39">
        <f>+'FY21'!G46*(1+MYP!$G$9)</f>
        <v>186.34719999999999</v>
      </c>
      <c r="H46" s="39">
        <f>+'FY21'!H46*(1+MYP!$G$9)</f>
        <v>186.34719999999999</v>
      </c>
      <c r="I46" s="39">
        <f>+'FY21'!I46*(1+MYP!$G$9)</f>
        <v>186.34719999999999</v>
      </c>
      <c r="J46" s="39">
        <f>+'FY21'!J46*(1+MYP!$G$9)</f>
        <v>186.34719999999999</v>
      </c>
      <c r="K46" s="39">
        <f>+'FY21'!K46*(1+MYP!$G$9)</f>
        <v>186.34719999999999</v>
      </c>
      <c r="L46" s="39">
        <f>+'FY21'!L46*(1+MYP!$G$9)</f>
        <v>186.34719999999999</v>
      </c>
      <c r="M46" s="39">
        <f>+'FY21'!M46*(1+MYP!$G$9)</f>
        <v>186.34719999999999</v>
      </c>
      <c r="N46" s="39">
        <f>+'FY21'!N46*(1+MYP!$G$9)</f>
        <v>186.34719999999999</v>
      </c>
      <c r="O46" s="39">
        <f>+'FY21'!O46*(1+MYP!$G$9)</f>
        <v>186.34719999999999</v>
      </c>
      <c r="P46" s="39">
        <f>+'FY21'!P46*(1+MYP!$G$9)</f>
        <v>186.34719999999999</v>
      </c>
      <c r="Q46" s="36"/>
      <c r="R46" s="41"/>
      <c r="S46" s="59">
        <f t="shared" si="17"/>
        <v>2236.1663999999996</v>
      </c>
      <c r="T46" s="41"/>
      <c r="U46" s="39">
        <f>'FY21'!S46</f>
        <v>2192.3200000000002</v>
      </c>
      <c r="V46" s="39">
        <f t="shared" si="18"/>
        <v>-43.846399999999448</v>
      </c>
      <c r="W46" s="39"/>
    </row>
    <row r="47" spans="3:23" s="37" customFormat="1" ht="12" x14ac:dyDescent="0.2">
      <c r="C47" s="199">
        <v>6231</v>
      </c>
      <c r="D47" s="37" t="s">
        <v>205</v>
      </c>
      <c r="E47" s="39">
        <f>+'FY21'!E47*(1+MYP!$G$9)</f>
        <v>0</v>
      </c>
      <c r="F47" s="39">
        <f>+'FY21'!F47*(1+MYP!$G$9)</f>
        <v>0</v>
      </c>
      <c r="G47" s="39">
        <f>+'FY21'!G47*(1+MYP!$G$9)</f>
        <v>0</v>
      </c>
      <c r="H47" s="39">
        <f>+'FY21'!H47*(1+MYP!$G$9)</f>
        <v>0</v>
      </c>
      <c r="I47" s="39">
        <f>+'FY21'!I47*(1+MYP!$G$9)</f>
        <v>0</v>
      </c>
      <c r="J47" s="39">
        <f>+'FY21'!J47*(1+MYP!$G$9)</f>
        <v>0</v>
      </c>
      <c r="K47" s="39">
        <f>+'FY21'!K47*(1+MYP!$G$9)</f>
        <v>0</v>
      </c>
      <c r="L47" s="39">
        <f>+'FY21'!L47*(1+MYP!$G$9)</f>
        <v>0</v>
      </c>
      <c r="M47" s="39">
        <f>+'FY21'!M47*(1+MYP!$G$9)</f>
        <v>0</v>
      </c>
      <c r="N47" s="39">
        <f>+'FY21'!N47*(1+MYP!$G$9)</f>
        <v>0</v>
      </c>
      <c r="O47" s="39">
        <f>+'FY21'!O47*(1+MYP!$G$9)</f>
        <v>0</v>
      </c>
      <c r="P47" s="39">
        <f>+'FY21'!P47*(1+MYP!$G$9)</f>
        <v>0</v>
      </c>
      <c r="Q47" s="36"/>
      <c r="R47" s="41"/>
      <c r="S47" s="59">
        <f>SUM(E47:Q47)</f>
        <v>0</v>
      </c>
      <c r="T47" s="41"/>
      <c r="U47" s="39">
        <f>'FY21'!S47</f>
        <v>0</v>
      </c>
      <c r="V47" s="39">
        <f t="shared" si="18"/>
        <v>0</v>
      </c>
      <c r="W47" s="39"/>
    </row>
    <row r="48" spans="3:23" s="37" customFormat="1" ht="12" x14ac:dyDescent="0.2">
      <c r="C48" s="199">
        <v>6234</v>
      </c>
      <c r="D48" s="37" t="s">
        <v>206</v>
      </c>
      <c r="E48" s="39">
        <f>+'FY21'!E48*(1+MYP!$G$9)</f>
        <v>10882.01656125</v>
      </c>
      <c r="F48" s="39">
        <f>+'FY21'!F48*(1+MYP!$G$9)</f>
        <v>10882.01656125</v>
      </c>
      <c r="G48" s="39">
        <f>+'FY21'!G48*(1+MYP!$G$9)</f>
        <v>10882.01656125</v>
      </c>
      <c r="H48" s="39">
        <f>+'FY21'!H48*(1+MYP!$G$9)</f>
        <v>10882.01656125</v>
      </c>
      <c r="I48" s="39">
        <f>+'FY21'!I48*(1+MYP!$G$9)</f>
        <v>10882.01656125</v>
      </c>
      <c r="J48" s="39">
        <f>+'FY21'!J48*(1+MYP!$G$9)</f>
        <v>10882.01656125</v>
      </c>
      <c r="K48" s="39">
        <f>+'FY21'!K48*(1+MYP!$G$9)</f>
        <v>10882.01656125</v>
      </c>
      <c r="L48" s="39">
        <f>+'FY21'!L48*(1+MYP!$G$9)</f>
        <v>10882.01656125</v>
      </c>
      <c r="M48" s="39">
        <f>+'FY21'!M48*(1+MYP!$G$9)</f>
        <v>10882.01656125</v>
      </c>
      <c r="N48" s="39">
        <f>+'FY21'!N48*(1+MYP!$G$9)</f>
        <v>10882.01656125</v>
      </c>
      <c r="O48" s="39">
        <f>+'FY21'!O48*(1+MYP!$G$9)</f>
        <v>10882.01656125</v>
      </c>
      <c r="P48" s="39">
        <f>+'FY21'!P48*(1+MYP!$G$9)</f>
        <v>10882.01656125</v>
      </c>
      <c r="Q48" s="36"/>
      <c r="R48" s="41"/>
      <c r="S48" s="59">
        <f t="shared" si="17"/>
        <v>130584.198735</v>
      </c>
      <c r="T48" s="41"/>
      <c r="U48" s="39">
        <f>'FY21'!S48</f>
        <v>128023.72425000003</v>
      </c>
      <c r="V48" s="39">
        <f t="shared" si="18"/>
        <v>-2560.4744849999697</v>
      </c>
      <c r="W48" s="39"/>
    </row>
    <row r="49" spans="3:23" s="37" customFormat="1" ht="12" x14ac:dyDescent="0.2">
      <c r="C49" s="199">
        <v>6237</v>
      </c>
      <c r="D49" s="37" t="s">
        <v>223</v>
      </c>
      <c r="E49" s="654">
        <f>+'FY21'!E49*(1+MYP!$G$9)+750</f>
        <v>10770.041108662501</v>
      </c>
      <c r="F49" s="654">
        <f>+'FY21'!F49*(1+MYP!$G$9)+750</f>
        <v>10770.041108662501</v>
      </c>
      <c r="G49" s="654">
        <f>+'FY21'!G49*(1+MYP!$G$9)+750</f>
        <v>10770.041108662501</v>
      </c>
      <c r="H49" s="654">
        <f>+'FY21'!H49*(1+MYP!$G$9)+750</f>
        <v>10770.041108662501</v>
      </c>
      <c r="I49" s="654">
        <f>+'FY21'!I49*(1+MYP!$G$9)+750</f>
        <v>10770.041108662501</v>
      </c>
      <c r="J49" s="654">
        <f>+'FY21'!J49*(1+MYP!$G$9)+750</f>
        <v>10770.041108662501</v>
      </c>
      <c r="K49" s="654">
        <f>+'FY21'!K49*(1+MYP!$G$9)+750</f>
        <v>10770.041108662501</v>
      </c>
      <c r="L49" s="654">
        <f>+'FY21'!L49*(1+MYP!$G$9)+750</f>
        <v>10770.041108662501</v>
      </c>
      <c r="M49" s="654">
        <f>+'FY21'!M49*(1+MYP!$G$9)+750</f>
        <v>10770.041108662501</v>
      </c>
      <c r="N49" s="654">
        <f>+'FY21'!N49*(1+MYP!$G$9)+750</f>
        <v>10770.041108662501</v>
      </c>
      <c r="O49" s="654">
        <f>+'FY21'!O49*(1+MYP!$G$9)+750</f>
        <v>10770.041108662501</v>
      </c>
      <c r="P49" s="654">
        <f>+'FY21'!P49*(1+MYP!$G$9)+750</f>
        <v>10770.041108662501</v>
      </c>
      <c r="Q49" s="36"/>
      <c r="R49" s="41"/>
      <c r="S49" s="59">
        <f t="shared" si="17"/>
        <v>129240.49330394999</v>
      </c>
      <c r="T49" s="41"/>
      <c r="U49" s="39">
        <f>'FY21'!S49</f>
        <v>117882.8365725</v>
      </c>
      <c r="V49" s="39">
        <f t="shared" si="18"/>
        <v>-11357.656731449984</v>
      </c>
      <c r="W49" s="39"/>
    </row>
    <row r="50" spans="3:23" s="37" customFormat="1" ht="12" x14ac:dyDescent="0.2">
      <c r="C50" s="199">
        <v>6241</v>
      </c>
      <c r="D50" s="37" t="s">
        <v>196</v>
      </c>
      <c r="E50" s="39">
        <f>+'FY21'!E50*(1+MYP!$G$9)</f>
        <v>0</v>
      </c>
      <c r="F50" s="39">
        <f>+'FY21'!F50*(1+MYP!$G$9)</f>
        <v>0</v>
      </c>
      <c r="G50" s="39">
        <f>+'FY21'!G50*(1+MYP!$G$9)</f>
        <v>0</v>
      </c>
      <c r="H50" s="39">
        <f>+'FY21'!H50*(1+MYP!$G$9)</f>
        <v>0</v>
      </c>
      <c r="I50" s="39">
        <f>+'FY21'!I50*(1+MYP!$G$9)</f>
        <v>0</v>
      </c>
      <c r="J50" s="39">
        <f>+'FY21'!J50*(1+MYP!$G$9)</f>
        <v>0</v>
      </c>
      <c r="K50" s="39">
        <f>+'FY21'!K50*(1+MYP!$G$9)</f>
        <v>0</v>
      </c>
      <c r="L50" s="39">
        <f>+'FY21'!L50*(1+MYP!$G$9)</f>
        <v>0</v>
      </c>
      <c r="M50" s="39">
        <f>+'FY21'!M50*(1+MYP!$G$9)</f>
        <v>0</v>
      </c>
      <c r="N50" s="39">
        <f>+'FY21'!N50*(1+MYP!$G$9)</f>
        <v>0</v>
      </c>
      <c r="O50" s="39">
        <f>+'FY21'!O50*(1+MYP!$G$9)</f>
        <v>0</v>
      </c>
      <c r="P50" s="39">
        <f>+'FY21'!P50*(1+MYP!$G$9)</f>
        <v>0</v>
      </c>
      <c r="Q50" s="36"/>
      <c r="R50" s="41"/>
      <c r="S50" s="59">
        <f t="shared" si="17"/>
        <v>0</v>
      </c>
      <c r="T50" s="41"/>
      <c r="U50" s="39">
        <f>'FY21'!S50</f>
        <v>0</v>
      </c>
      <c r="V50" s="39">
        <f t="shared" si="18"/>
        <v>0</v>
      </c>
      <c r="W50" s="39"/>
    </row>
    <row r="51" spans="3:23" s="37" customFormat="1" ht="12" x14ac:dyDescent="0.2">
      <c r="C51" s="199">
        <v>6244</v>
      </c>
      <c r="D51" s="37" t="s">
        <v>197</v>
      </c>
      <c r="E51" s="39">
        <f>+'FY21'!E51*(1+MYP!$G$9)</f>
        <v>607.41014025000004</v>
      </c>
      <c r="F51" s="39">
        <f>+'FY21'!F51*(1+MYP!$G$9)</f>
        <v>607.41014025000004</v>
      </c>
      <c r="G51" s="39">
        <f>+'FY21'!G51*(1+MYP!$G$9)</f>
        <v>618.50264025000001</v>
      </c>
      <c r="H51" s="39">
        <f>+'FY21'!H51*(1+MYP!$G$9)</f>
        <v>622.20014025000012</v>
      </c>
      <c r="I51" s="39">
        <f>+'FY21'!I51*(1+MYP!$G$9)</f>
        <v>629.5951402500001</v>
      </c>
      <c r="J51" s="39">
        <f>+'FY21'!J51*(1+MYP!$G$9)</f>
        <v>636.99014025000008</v>
      </c>
      <c r="K51" s="39">
        <f>+'FY21'!K51*(1+MYP!$G$9)</f>
        <v>636.99014025000008</v>
      </c>
      <c r="L51" s="39">
        <f>+'FY21'!L51*(1+MYP!$G$9)</f>
        <v>648.08264025000005</v>
      </c>
      <c r="M51" s="39">
        <f>+'FY21'!M51*(1+MYP!$G$9)</f>
        <v>640.68764025000007</v>
      </c>
      <c r="N51" s="39">
        <f>+'FY21'!N51*(1+MYP!$G$9)</f>
        <v>636.99014025000008</v>
      </c>
      <c r="O51" s="39">
        <f>+'FY21'!O51*(1+MYP!$G$9)</f>
        <v>636.99014025000008</v>
      </c>
      <c r="P51" s="39">
        <f>+'FY21'!P51*(1+MYP!$G$9)</f>
        <v>969.76514025000017</v>
      </c>
      <c r="Q51" s="36"/>
      <c r="R51" s="41"/>
      <c r="S51" s="59">
        <f t="shared" si="17"/>
        <v>7891.6141830000006</v>
      </c>
      <c r="T51" s="41"/>
      <c r="U51" s="39">
        <f>'FY21'!S51</f>
        <v>7736.8766500000011</v>
      </c>
      <c r="V51" s="39">
        <f t="shared" si="18"/>
        <v>-154.73753299999953</v>
      </c>
      <c r="W51" s="39"/>
    </row>
    <row r="52" spans="3:23" s="37" customFormat="1" ht="12" x14ac:dyDescent="0.2">
      <c r="C52" s="199">
        <v>6247</v>
      </c>
      <c r="D52" s="37" t="s">
        <v>224</v>
      </c>
      <c r="E52" s="39">
        <f>+'FY21'!E52*(1+MYP!$G$9)</f>
        <v>748.93760869250002</v>
      </c>
      <c r="F52" s="39">
        <f>+'FY21'!F52*(1+MYP!$G$9)</f>
        <v>813.71780869249994</v>
      </c>
      <c r="G52" s="39">
        <f>+'FY21'!G52*(1+MYP!$G$9)</f>
        <v>813.36284869250005</v>
      </c>
      <c r="H52" s="39">
        <f>+'FY21'!H52*(1+MYP!$G$9)</f>
        <v>854.62694869250004</v>
      </c>
      <c r="I52" s="39">
        <f>+'FY21'!I52*(1+MYP!$G$9)</f>
        <v>825.78644869250013</v>
      </c>
      <c r="J52" s="39">
        <f>+'FY21'!J52*(1+MYP!$G$9)</f>
        <v>797.2417486925001</v>
      </c>
      <c r="K52" s="39">
        <f>+'FY21'!K52*(1+MYP!$G$9)</f>
        <v>837.17474869250009</v>
      </c>
      <c r="L52" s="39">
        <f>+'FY21'!L52*(1+MYP!$G$9)</f>
        <v>784.81814869250002</v>
      </c>
      <c r="M52" s="39">
        <f>+'FY21'!M52*(1+MYP!$G$9)</f>
        <v>820.75784869250003</v>
      </c>
      <c r="N52" s="39">
        <f>+'FY21'!N52*(1+MYP!$G$9)</f>
        <v>849.59834869250005</v>
      </c>
      <c r="O52" s="39">
        <f>+'FY21'!O52*(1+MYP!$G$9)</f>
        <v>849.65750869249996</v>
      </c>
      <c r="P52" s="39">
        <f>+'FY21'!P52*(1+MYP!$G$9)</f>
        <v>748.93760869250002</v>
      </c>
      <c r="Q52" s="36"/>
      <c r="R52" s="41"/>
      <c r="S52" s="59">
        <f t="shared" si="17"/>
        <v>9744.6176243099999</v>
      </c>
      <c r="T52" s="41"/>
      <c r="U52" s="39">
        <f>'FY21'!S52</f>
        <v>9553.5466904999994</v>
      </c>
      <c r="V52" s="39">
        <f t="shared" si="18"/>
        <v>-191.0709338100005</v>
      </c>
      <c r="W52" s="39"/>
    </row>
    <row r="53" spans="3:23" s="37" customFormat="1" ht="12" x14ac:dyDescent="0.2">
      <c r="C53" s="199">
        <v>6261</v>
      </c>
      <c r="D53" s="37" t="s">
        <v>207</v>
      </c>
      <c r="E53" s="39">
        <f>+'FY21'!E53*(1+MYP!$G$9)</f>
        <v>0</v>
      </c>
      <c r="F53" s="39">
        <f>+'FY21'!F53*(1+MYP!$G$9)</f>
        <v>0</v>
      </c>
      <c r="G53" s="39">
        <f>+'FY21'!G53*(1+MYP!$G$9)</f>
        <v>0</v>
      </c>
      <c r="H53" s="39">
        <f>+'FY21'!H53*(1+MYP!$G$9)</f>
        <v>0</v>
      </c>
      <c r="I53" s="39">
        <f>+'FY21'!I53*(1+MYP!$G$9)</f>
        <v>0</v>
      </c>
      <c r="J53" s="39">
        <f>+'FY21'!J53*(1+MYP!$G$9)</f>
        <v>0</v>
      </c>
      <c r="K53" s="39">
        <f>+'FY21'!K53*(1+MYP!$G$9)</f>
        <v>0</v>
      </c>
      <c r="L53" s="39">
        <f>+'FY21'!L53*(1+MYP!$G$9)</f>
        <v>0</v>
      </c>
      <c r="M53" s="39">
        <f>+'FY21'!M53*(1+MYP!$G$9)</f>
        <v>0</v>
      </c>
      <c r="N53" s="39">
        <f>+'FY21'!N53*(1+MYP!$G$9)</f>
        <v>0</v>
      </c>
      <c r="O53" s="39">
        <f>+'FY21'!O53*(1+MYP!$G$9)</f>
        <v>0</v>
      </c>
      <c r="P53" s="39">
        <f>+'FY21'!P53*(1+MYP!$G$9)</f>
        <v>0</v>
      </c>
      <c r="Q53" s="36"/>
      <c r="R53" s="41"/>
      <c r="S53" s="59">
        <f t="shared" si="17"/>
        <v>0</v>
      </c>
      <c r="T53" s="41"/>
      <c r="U53" s="39">
        <f>'FY21'!S53</f>
        <v>0</v>
      </c>
      <c r="V53" s="39">
        <f t="shared" si="18"/>
        <v>0</v>
      </c>
      <c r="W53" s="39"/>
    </row>
    <row r="54" spans="3:23" s="37" customFormat="1" ht="12" x14ac:dyDescent="0.2">
      <c r="C54" s="199">
        <v>6264</v>
      </c>
      <c r="D54" s="37" t="s">
        <v>208</v>
      </c>
      <c r="E54" s="39">
        <f>+'FY21'!E54*(1+MYP!$G$9)</f>
        <v>159.12</v>
      </c>
      <c r="F54" s="39">
        <f>+'FY21'!F54*(1+MYP!$G$9)</f>
        <v>159.12</v>
      </c>
      <c r="G54" s="39">
        <f>+'FY21'!G54*(1+MYP!$G$9)</f>
        <v>159.12</v>
      </c>
      <c r="H54" s="39">
        <f>+'FY21'!H54*(1+MYP!$G$9)</f>
        <v>159.12</v>
      </c>
      <c r="I54" s="39">
        <f>+'FY21'!I54*(1+MYP!$G$9)</f>
        <v>159.12</v>
      </c>
      <c r="J54" s="39">
        <f>+'FY21'!J54*(1+MYP!$G$9)</f>
        <v>159.12</v>
      </c>
      <c r="K54" s="39">
        <f>+'FY21'!K54*(1+MYP!$G$9)</f>
        <v>159.12</v>
      </c>
      <c r="L54" s="39">
        <f>+'FY21'!L54*(1+MYP!$G$9)</f>
        <v>159.12</v>
      </c>
      <c r="M54" s="39">
        <f>+'FY21'!M54*(1+MYP!$G$9)</f>
        <v>159.12</v>
      </c>
      <c r="N54" s="39">
        <f>+'FY21'!N54*(1+MYP!$G$9)</f>
        <v>159.12</v>
      </c>
      <c r="O54" s="39">
        <f>+'FY21'!O54*(1+MYP!$G$9)</f>
        <v>159.12</v>
      </c>
      <c r="P54" s="39">
        <f>+'FY21'!P54*(1+MYP!$G$9)</f>
        <v>159.12</v>
      </c>
      <c r="Q54" s="36"/>
      <c r="R54" s="41"/>
      <c r="S54" s="59">
        <f t="shared" si="17"/>
        <v>1909.4399999999996</v>
      </c>
      <c r="T54" s="41"/>
      <c r="U54" s="39">
        <f>'FY21'!S54</f>
        <v>1872</v>
      </c>
      <c r="V54" s="39">
        <f t="shared" si="18"/>
        <v>-37.4399999999996</v>
      </c>
      <c r="W54" s="39"/>
    </row>
    <row r="55" spans="3:23" s="37" customFormat="1" ht="12" x14ac:dyDescent="0.2">
      <c r="C55" s="199">
        <v>6267</v>
      </c>
      <c r="D55" s="37" t="s">
        <v>225</v>
      </c>
      <c r="E55" s="654">
        <f>+'FY21'!E55*(1+MYP!$G$9)+80</f>
        <v>447.91399999999999</v>
      </c>
      <c r="F55" s="654">
        <f>+'FY21'!F55*(1+MYP!$G$9)+80</f>
        <v>447.91399999999999</v>
      </c>
      <c r="G55" s="654">
        <f>+'FY21'!G55*(1+MYP!$G$9)+80</f>
        <v>447.91399999999999</v>
      </c>
      <c r="H55" s="654">
        <f>+'FY21'!H55*(1+MYP!$G$9)+80</f>
        <v>447.91399999999999</v>
      </c>
      <c r="I55" s="654">
        <f>+'FY21'!I55*(1+MYP!$G$9)+80</f>
        <v>447.91399999999999</v>
      </c>
      <c r="J55" s="654">
        <f>+'FY21'!J55*(1+MYP!$G$9)+80</f>
        <v>447.91399999999999</v>
      </c>
      <c r="K55" s="654">
        <f>+'FY21'!K55*(1+MYP!$G$9)+80</f>
        <v>447.91399999999999</v>
      </c>
      <c r="L55" s="654">
        <f>+'FY21'!L55*(1+MYP!$G$9)+80</f>
        <v>447.91399999999999</v>
      </c>
      <c r="M55" s="654">
        <f>+'FY21'!M55*(1+MYP!$G$9)+80</f>
        <v>447.91399999999999</v>
      </c>
      <c r="N55" s="654">
        <f>+'FY21'!N55*(1+MYP!$G$9)+80</f>
        <v>447.91399999999999</v>
      </c>
      <c r="O55" s="654">
        <f>+'FY21'!O55*(1+MYP!$G$9)+80</f>
        <v>447.91399999999999</v>
      </c>
      <c r="P55" s="654">
        <f>+'FY21'!P55*(1+MYP!$G$9)+80</f>
        <v>447.91399999999999</v>
      </c>
      <c r="Q55" s="36"/>
      <c r="R55" s="41"/>
      <c r="S55" s="59">
        <f t="shared" si="17"/>
        <v>5374.967999999998</v>
      </c>
      <c r="T55" s="41"/>
      <c r="U55" s="39">
        <f>'FY21'!S55</f>
        <v>4328.3999999999987</v>
      </c>
      <c r="V55" s="39">
        <f t="shared" si="18"/>
        <v>-1046.5679999999993</v>
      </c>
      <c r="W55" s="39"/>
    </row>
    <row r="56" spans="3:23" s="37" customFormat="1" ht="12" x14ac:dyDescent="0.2">
      <c r="C56" s="199">
        <v>6271</v>
      </c>
      <c r="D56" s="37" t="s">
        <v>209</v>
      </c>
      <c r="E56" s="39">
        <f>+'FY21'!E56*(1+MYP!$G$9)</f>
        <v>0</v>
      </c>
      <c r="F56" s="39">
        <f>+'FY21'!F56*(1+MYP!$G$9)</f>
        <v>0</v>
      </c>
      <c r="G56" s="39">
        <f>+'FY21'!G56*(1+MYP!$G$9)</f>
        <v>0</v>
      </c>
      <c r="H56" s="39">
        <f>+'FY21'!H56*(1+MYP!$G$9)</f>
        <v>0</v>
      </c>
      <c r="I56" s="39">
        <f>+'FY21'!I56*(1+MYP!$G$9)</f>
        <v>0</v>
      </c>
      <c r="J56" s="39">
        <f>+'FY21'!J56*(1+MYP!$G$9)</f>
        <v>0</v>
      </c>
      <c r="K56" s="39">
        <f>+'FY21'!K56*(1+MYP!$G$9)</f>
        <v>0</v>
      </c>
      <c r="L56" s="39">
        <f>+'FY21'!L56*(1+MYP!$G$9)</f>
        <v>0</v>
      </c>
      <c r="M56" s="39">
        <f>+'FY21'!M56*(1+MYP!$G$9)</f>
        <v>0</v>
      </c>
      <c r="N56" s="39">
        <f>+'FY21'!N56*(1+MYP!$G$9)</f>
        <v>0</v>
      </c>
      <c r="O56" s="39">
        <f>+'FY21'!O56*(1+MYP!$G$9)</f>
        <v>0</v>
      </c>
      <c r="P56" s="39">
        <f>+'FY21'!P56*(1+MYP!$G$9)</f>
        <v>0</v>
      </c>
      <c r="Q56" s="36"/>
      <c r="R56" s="41"/>
      <c r="S56" s="59">
        <f t="shared" si="17"/>
        <v>0</v>
      </c>
      <c r="T56" s="41"/>
      <c r="U56" s="39">
        <f>'FY21'!S56</f>
        <v>0</v>
      </c>
      <c r="V56" s="39">
        <f t="shared" si="18"/>
        <v>0</v>
      </c>
      <c r="W56" s="39"/>
    </row>
    <row r="57" spans="3:23" s="37" customFormat="1" ht="12" x14ac:dyDescent="0.2">
      <c r="C57" s="199">
        <v>6274</v>
      </c>
      <c r="D57" s="37" t="s">
        <v>210</v>
      </c>
      <c r="E57" s="39">
        <f>+'FY21'!E57*(1+MYP!$G$9)</f>
        <v>340.15578374999996</v>
      </c>
      <c r="F57" s="39">
        <f>+'FY21'!F57*(1+MYP!$G$9)</f>
        <v>340.15578374999996</v>
      </c>
      <c r="G57" s="39">
        <f>+'FY21'!G57*(1+MYP!$G$9)</f>
        <v>340.15578374999996</v>
      </c>
      <c r="H57" s="39">
        <f>+'FY21'!H57*(1+MYP!$G$9)</f>
        <v>340.15578374999996</v>
      </c>
      <c r="I57" s="39">
        <f>+'FY21'!I57*(1+MYP!$G$9)</f>
        <v>340.15578374999996</v>
      </c>
      <c r="J57" s="39">
        <f>+'FY21'!J57*(1+MYP!$G$9)</f>
        <v>340.15578374999996</v>
      </c>
      <c r="K57" s="39">
        <f>+'FY21'!K57*(1+MYP!$G$9)</f>
        <v>340.15578374999996</v>
      </c>
      <c r="L57" s="39">
        <f>+'FY21'!L57*(1+MYP!$G$9)</f>
        <v>340.15578374999996</v>
      </c>
      <c r="M57" s="39">
        <f>+'FY21'!M57*(1+MYP!$G$9)</f>
        <v>340.15578374999996</v>
      </c>
      <c r="N57" s="39">
        <f>+'FY21'!N57*(1+MYP!$G$9)</f>
        <v>340.15578374999996</v>
      </c>
      <c r="O57" s="39">
        <f>+'FY21'!O57*(1+MYP!$G$9)</f>
        <v>340.15578374999996</v>
      </c>
      <c r="P57" s="39">
        <f>+'FY21'!P57*(1+MYP!$G$9)</f>
        <v>340.15578374999996</v>
      </c>
      <c r="Q57" s="36"/>
      <c r="R57" s="41"/>
      <c r="S57" s="59">
        <f t="shared" si="17"/>
        <v>4081.8694049999995</v>
      </c>
      <c r="T57" s="41"/>
      <c r="U57" s="39">
        <f>'FY21'!S57</f>
        <v>4001.83275</v>
      </c>
      <c r="V57" s="39">
        <f t="shared" si="18"/>
        <v>-80.036654999999428</v>
      </c>
      <c r="W57" s="39"/>
    </row>
    <row r="58" spans="3:23" s="37" customFormat="1" ht="12" x14ac:dyDescent="0.2">
      <c r="C58" s="199">
        <v>6277</v>
      </c>
      <c r="D58" s="37" t="s">
        <v>226</v>
      </c>
      <c r="E58" s="654">
        <f>+'FY21'!E58*(1+MYP!$G$9)+34</f>
        <v>447.71537173750005</v>
      </c>
      <c r="F58" s="654">
        <f>+'FY21'!F58*(1+MYP!$G$9)+34</f>
        <v>447.71537173750005</v>
      </c>
      <c r="G58" s="654">
        <f>+'FY21'!G58*(1+MYP!$G$9)+34</f>
        <v>447.71537173750005</v>
      </c>
      <c r="H58" s="654">
        <f>+'FY21'!H58*(1+MYP!$G$9)+34</f>
        <v>447.71537173750005</v>
      </c>
      <c r="I58" s="654">
        <f>+'FY21'!I58*(1+MYP!$G$9)+34</f>
        <v>447.71537173750005</v>
      </c>
      <c r="J58" s="654">
        <f>+'FY21'!J58*(1+MYP!$G$9)+34</f>
        <v>447.71537173750005</v>
      </c>
      <c r="K58" s="654">
        <f>+'FY21'!K58*(1+MYP!$G$9)+34</f>
        <v>447.71537173750005</v>
      </c>
      <c r="L58" s="654">
        <f>+'FY21'!L58*(1+MYP!$G$9)+34</f>
        <v>447.71537173750005</v>
      </c>
      <c r="M58" s="654">
        <f>+'FY21'!M58*(1+MYP!$G$9)+34</f>
        <v>447.71537173750005</v>
      </c>
      <c r="N58" s="654">
        <f>+'FY21'!N58*(1+MYP!$G$9)+34</f>
        <v>447.71537173750005</v>
      </c>
      <c r="O58" s="654">
        <f>+'FY21'!O58*(1+MYP!$G$9)+34</f>
        <v>447.71537173750005</v>
      </c>
      <c r="P58" s="654">
        <f>+'FY21'!P58*(1+MYP!$G$9)+34</f>
        <v>447.71537173750005</v>
      </c>
      <c r="Q58" s="36"/>
      <c r="R58" s="41"/>
      <c r="S58" s="59">
        <f t="shared" si="17"/>
        <v>5372.5844608500011</v>
      </c>
      <c r="T58" s="41"/>
      <c r="U58" s="39">
        <f>'FY21'!S58</f>
        <v>4867.2396674999991</v>
      </c>
      <c r="V58" s="39">
        <f t="shared" si="18"/>
        <v>-505.34479335000196</v>
      </c>
      <c r="W58" s="39"/>
    </row>
    <row r="59" spans="3:23" s="37" customFormat="1" ht="12" x14ac:dyDescent="0.2">
      <c r="C59" s="199">
        <v>6281</v>
      </c>
      <c r="D59" s="37" t="s">
        <v>193</v>
      </c>
      <c r="E59" s="39">
        <f>+'FY21'!E59*(1+MYP!$G$9)</f>
        <v>0</v>
      </c>
      <c r="F59" s="39">
        <f>+'FY21'!F59*(1+MYP!$G$9)</f>
        <v>0</v>
      </c>
      <c r="G59" s="39">
        <f>+'FY21'!G59*(1+MYP!$G$9)</f>
        <v>0</v>
      </c>
      <c r="H59" s="39">
        <f>+'FY21'!H59*(1+MYP!$G$9)</f>
        <v>0</v>
      </c>
      <c r="I59" s="39">
        <f>+'FY21'!I59*(1+MYP!$G$9)</f>
        <v>0</v>
      </c>
      <c r="J59" s="39">
        <f>+'FY21'!J59*(1+MYP!$G$9)</f>
        <v>0</v>
      </c>
      <c r="K59" s="39">
        <f>+'FY21'!K59*(1+MYP!$G$9)</f>
        <v>0</v>
      </c>
      <c r="L59" s="39">
        <f>+'FY21'!L59*(1+MYP!$G$9)</f>
        <v>0</v>
      </c>
      <c r="M59" s="39">
        <f>+'FY21'!M59*(1+MYP!$G$9)</f>
        <v>0</v>
      </c>
      <c r="N59" s="39">
        <f>+'FY21'!N59*(1+MYP!$G$9)</f>
        <v>0</v>
      </c>
      <c r="O59" s="39">
        <f>+'FY21'!O59*(1+MYP!$G$9)</f>
        <v>0</v>
      </c>
      <c r="P59" s="39">
        <f>+'FY21'!P59*(1+MYP!$G$9)</f>
        <v>0</v>
      </c>
      <c r="Q59" s="36"/>
      <c r="R59" s="41"/>
      <c r="S59" s="59">
        <f t="shared" si="17"/>
        <v>0</v>
      </c>
      <c r="T59" s="41"/>
      <c r="U59" s="39">
        <f>'FY21'!S59</f>
        <v>0</v>
      </c>
      <c r="V59" s="39">
        <f t="shared" si="18"/>
        <v>0</v>
      </c>
      <c r="W59" s="39"/>
    </row>
    <row r="60" spans="3:23" s="37" customFormat="1" ht="12" x14ac:dyDescent="0.2">
      <c r="C60" s="199">
        <v>6284</v>
      </c>
      <c r="D60" s="37" t="s">
        <v>194</v>
      </c>
      <c r="E60" s="39">
        <f>+'FY21'!E60*(1+MYP!$G$9)</f>
        <v>1652.4</v>
      </c>
      <c r="F60" s="39">
        <f>+'FY21'!F60*(1+MYP!$G$9)</f>
        <v>1652.4</v>
      </c>
      <c r="G60" s="39">
        <f>+'FY21'!G60*(1+MYP!$G$9)</f>
        <v>1652.4</v>
      </c>
      <c r="H60" s="39">
        <f>+'FY21'!H60*(1+MYP!$G$9)</f>
        <v>1652.4</v>
      </c>
      <c r="I60" s="39">
        <f>+'FY21'!I60*(1+MYP!$G$9)</f>
        <v>1652.4</v>
      </c>
      <c r="J60" s="39">
        <f>+'FY21'!J60*(1+MYP!$G$9)</f>
        <v>1652.4</v>
      </c>
      <c r="K60" s="39">
        <f>+'FY21'!K60*(1+MYP!$G$9)</f>
        <v>1652.4</v>
      </c>
      <c r="L60" s="39">
        <f>+'FY21'!L60*(1+MYP!$G$9)</f>
        <v>1652.4</v>
      </c>
      <c r="M60" s="39">
        <f>+'FY21'!M60*(1+MYP!$G$9)</f>
        <v>1652.4</v>
      </c>
      <c r="N60" s="39">
        <f>+'FY21'!N60*(1+MYP!$G$9)</f>
        <v>1652.4</v>
      </c>
      <c r="O60" s="39">
        <f>+'FY21'!O60*(1+MYP!$G$9)</f>
        <v>1652.4</v>
      </c>
      <c r="P60" s="39">
        <f>+'FY21'!P60*(1+MYP!$G$9)</f>
        <v>1652.4</v>
      </c>
      <c r="Q60" s="98"/>
      <c r="R60" s="41"/>
      <c r="S60" s="59">
        <f t="shared" si="17"/>
        <v>19828.800000000003</v>
      </c>
      <c r="T60" s="41"/>
      <c r="U60" s="39">
        <f>'FY21'!S60</f>
        <v>19440</v>
      </c>
      <c r="V60" s="39">
        <f t="shared" si="18"/>
        <v>-388.80000000000291</v>
      </c>
      <c r="W60" s="39"/>
    </row>
    <row r="61" spans="3:23" s="37" customFormat="1" ht="12" x14ac:dyDescent="0.2">
      <c r="C61" s="199">
        <v>6287</v>
      </c>
      <c r="D61" s="37" t="s">
        <v>227</v>
      </c>
      <c r="E61" s="654">
        <f>+'FY21'!E61*(1+MYP!$G$9)+420</f>
        <v>3724.8</v>
      </c>
      <c r="F61" s="654">
        <f>+'FY21'!F61*(1+MYP!$G$9)+420</f>
        <v>3724.8</v>
      </c>
      <c r="G61" s="654">
        <f>+'FY21'!G61*(1+MYP!$G$9)+420</f>
        <v>3724.8</v>
      </c>
      <c r="H61" s="654">
        <f>+'FY21'!H61*(1+MYP!$G$9)+420</f>
        <v>3724.8</v>
      </c>
      <c r="I61" s="654">
        <f>+'FY21'!I61*(1+MYP!$G$9)+420</f>
        <v>3724.8</v>
      </c>
      <c r="J61" s="654">
        <f>+'FY21'!J61*(1+MYP!$G$9)+420</f>
        <v>3724.8</v>
      </c>
      <c r="K61" s="654">
        <f>+'FY21'!K61*(1+MYP!$G$9)+420</f>
        <v>3724.8</v>
      </c>
      <c r="L61" s="654">
        <f>+'FY21'!L61*(1+MYP!$G$9)+420</f>
        <v>3724.8</v>
      </c>
      <c r="M61" s="654">
        <f>+'FY21'!M61*(1+MYP!$G$9)+420</f>
        <v>3724.8</v>
      </c>
      <c r="N61" s="654">
        <f>+'FY21'!N61*(1+MYP!$G$9)+420</f>
        <v>3724.8</v>
      </c>
      <c r="O61" s="654">
        <f>+'FY21'!O61*(1+MYP!$G$9)+420</f>
        <v>3724.8</v>
      </c>
      <c r="P61" s="654">
        <f>+'FY21'!P61*(1+MYP!$G$9)+420</f>
        <v>3724.8</v>
      </c>
      <c r="Q61" s="98"/>
      <c r="R61" s="41"/>
      <c r="S61" s="59">
        <f t="shared" si="17"/>
        <v>44697.600000000006</v>
      </c>
      <c r="T61" s="41"/>
      <c r="U61" s="39">
        <f>'FY21'!S61</f>
        <v>38880</v>
      </c>
      <c r="V61" s="39">
        <f t="shared" si="18"/>
        <v>-5817.6000000000058</v>
      </c>
      <c r="W61" s="39"/>
    </row>
    <row r="62" spans="3:23" s="37" customFormat="1" ht="12" x14ac:dyDescent="0.2">
      <c r="C62" s="38"/>
      <c r="E62" s="50">
        <f t="shared" ref="E62:P62" si="19">SUBTOTAL(9,E43:E61)</f>
        <v>30457.737774342506</v>
      </c>
      <c r="F62" s="50">
        <f t="shared" si="19"/>
        <v>30522.517974342507</v>
      </c>
      <c r="G62" s="50">
        <f t="shared" si="19"/>
        <v>30533.255514342505</v>
      </c>
      <c r="H62" s="50">
        <f t="shared" si="19"/>
        <v>30578.217114342504</v>
      </c>
      <c r="I62" s="50">
        <f t="shared" si="19"/>
        <v>30556.771614342502</v>
      </c>
      <c r="J62" s="50">
        <f t="shared" si="19"/>
        <v>30535.621914342504</v>
      </c>
      <c r="K62" s="50">
        <f t="shared" si="19"/>
        <v>30575.554914342505</v>
      </c>
      <c r="L62" s="50">
        <f t="shared" si="19"/>
        <v>30534.290814342501</v>
      </c>
      <c r="M62" s="50">
        <f t="shared" si="19"/>
        <v>30562.835514342503</v>
      </c>
      <c r="N62" s="50">
        <f t="shared" si="19"/>
        <v>30587.978514342503</v>
      </c>
      <c r="O62" s="50">
        <f t="shared" si="19"/>
        <v>30588.037674342504</v>
      </c>
      <c r="P62" s="50">
        <f t="shared" si="19"/>
        <v>30820.092774342505</v>
      </c>
      <c r="Q62" s="99"/>
      <c r="R62" s="41"/>
      <c r="S62" s="61">
        <f>SUBTOTAL(9,S43:S61)</f>
        <v>366852.91211210995</v>
      </c>
      <c r="T62" s="41"/>
      <c r="U62" s="50">
        <f>SUBTOTAL(9,U43:U61)</f>
        <v>344106.77658050007</v>
      </c>
      <c r="V62" s="50">
        <f>SUBTOTAL(9,V43:V61)</f>
        <v>-22746.135531609965</v>
      </c>
      <c r="W62" s="39"/>
    </row>
    <row r="63" spans="3:23" s="37" customFormat="1" ht="12" x14ac:dyDescent="0.2">
      <c r="C63" s="49" t="s">
        <v>9</v>
      </c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100"/>
      <c r="R63" s="41"/>
      <c r="S63" s="59"/>
      <c r="T63" s="41"/>
      <c r="U63" s="39"/>
      <c r="V63" s="39"/>
      <c r="W63" s="39"/>
    </row>
    <row r="64" spans="3:23" s="37" customFormat="1" ht="12" x14ac:dyDescent="0.2">
      <c r="C64" s="199">
        <v>6300</v>
      </c>
      <c r="D64" s="37" t="s">
        <v>9</v>
      </c>
      <c r="E64" s="39">
        <f>+'FY21'!E64*(1+MYP!$G$9)</f>
        <v>3060</v>
      </c>
      <c r="F64" s="39">
        <f>+'FY21'!F64*(1+MYP!$G$9)</f>
        <v>7741.8</v>
      </c>
      <c r="G64" s="39">
        <f>+'FY21'!G64*(1+MYP!$G$9)</f>
        <v>8256.9</v>
      </c>
      <c r="H64" s="39">
        <f>+'FY21'!H64*(1+MYP!$G$9)</f>
        <v>8557.7999999999993</v>
      </c>
      <c r="I64" s="39">
        <f>+'FY21'!I64*(1+MYP!$G$9)</f>
        <v>4681.8</v>
      </c>
      <c r="J64" s="39">
        <f>+'FY21'!J64*(1+MYP!$G$9)</f>
        <v>3804.6</v>
      </c>
      <c r="K64" s="39">
        <f>+'FY21'!K64*(1+MYP!$G$9)</f>
        <v>4641</v>
      </c>
      <c r="L64" s="39">
        <f>+'FY21'!L64*(1+MYP!$G$9)</f>
        <v>3845.4</v>
      </c>
      <c r="M64" s="39">
        <f>+'FY21'!M64*(1+MYP!$G$9)</f>
        <v>1989</v>
      </c>
      <c r="N64" s="39">
        <f>+'FY21'!N64*(1+MYP!$G$9)</f>
        <v>2754</v>
      </c>
      <c r="O64" s="39">
        <f>+'FY21'!O64*(1+MYP!$G$9)</f>
        <v>2040</v>
      </c>
      <c r="P64" s="39">
        <f>+'FY21'!P64*(1+MYP!$G$9)</f>
        <v>2295</v>
      </c>
      <c r="Q64" s="100"/>
      <c r="R64" s="41"/>
      <c r="S64" s="59">
        <f t="shared" ref="S64:S73" si="20">SUM(E64:Q64)</f>
        <v>53667.299999999996</v>
      </c>
      <c r="T64" s="41"/>
      <c r="U64" s="39">
        <f>'FY21'!S64</f>
        <v>52615</v>
      </c>
      <c r="V64" s="39">
        <f t="shared" ref="V64:V73" si="21">U64-S64</f>
        <v>-1052.2999999999956</v>
      </c>
      <c r="W64" s="39"/>
    </row>
    <row r="65" spans="3:23" s="37" customFormat="1" ht="12" x14ac:dyDescent="0.2">
      <c r="C65" s="199">
        <v>6320</v>
      </c>
      <c r="D65" s="37" t="s">
        <v>10</v>
      </c>
      <c r="E65" s="39">
        <f>+'FY21'!E65*(1+MYP!$G$9)</f>
        <v>0</v>
      </c>
      <c r="F65" s="39">
        <f>+'FY21'!F65*(1+MYP!$G$9)</f>
        <v>0</v>
      </c>
      <c r="G65" s="39">
        <f>+'FY21'!G65*(1+MYP!$G$9)</f>
        <v>13464</v>
      </c>
      <c r="H65" s="39">
        <f>+'FY21'!H65*(1+MYP!$G$9)</f>
        <v>255</v>
      </c>
      <c r="I65" s="39">
        <f>+'FY21'!I65*(1+MYP!$G$9)</f>
        <v>0</v>
      </c>
      <c r="J65" s="39">
        <f>+'FY21'!J65*(1+MYP!$G$9)</f>
        <v>0</v>
      </c>
      <c r="K65" s="39">
        <f>+'FY21'!K65*(1+MYP!$G$9)</f>
        <v>12240</v>
      </c>
      <c r="L65" s="39">
        <f>+'FY21'!L65*(1+MYP!$G$9)</f>
        <v>306</v>
      </c>
      <c r="M65" s="39">
        <f>+'FY21'!M65*(1+MYP!$G$9)</f>
        <v>127.5</v>
      </c>
      <c r="N65" s="39">
        <f>+'FY21'!N65*(1+MYP!$G$9)</f>
        <v>12240</v>
      </c>
      <c r="O65" s="39">
        <f>+'FY21'!O65*(1+MYP!$G$9)</f>
        <v>0</v>
      </c>
      <c r="P65" s="39">
        <f>+'FY21'!P65*(1+MYP!$G$9)</f>
        <v>12240</v>
      </c>
      <c r="Q65" s="100"/>
      <c r="R65" s="41"/>
      <c r="S65" s="59">
        <f t="shared" si="20"/>
        <v>50872.5</v>
      </c>
      <c r="T65" s="41"/>
      <c r="U65" s="39">
        <f>'FY21'!S65</f>
        <v>49875</v>
      </c>
      <c r="V65" s="39">
        <f t="shared" si="21"/>
        <v>-997.5</v>
      </c>
      <c r="W65" s="39"/>
    </row>
    <row r="66" spans="3:23" s="37" customFormat="1" ht="12" x14ac:dyDescent="0.2">
      <c r="C66" s="199">
        <v>6331</v>
      </c>
      <c r="D66" s="37" t="s">
        <v>11</v>
      </c>
      <c r="E66" s="39">
        <f>+'FY21'!E66*(1+MYP!$G$9)</f>
        <v>0</v>
      </c>
      <c r="F66" s="39">
        <f>+'FY21'!F66*(1+MYP!$G$9)</f>
        <v>2040</v>
      </c>
      <c r="G66" s="39">
        <f>+'FY21'!G66*(1+MYP!$G$9)</f>
        <v>0</v>
      </c>
      <c r="H66" s="39">
        <f>+'FY21'!H66*(1+MYP!$G$9)</f>
        <v>0</v>
      </c>
      <c r="I66" s="39">
        <f>+'FY21'!I66*(1+MYP!$G$9)</f>
        <v>0</v>
      </c>
      <c r="J66" s="39">
        <f>+'FY21'!J66*(1+MYP!$G$9)</f>
        <v>0</v>
      </c>
      <c r="K66" s="39">
        <f>+'FY21'!K66*(1+MYP!$G$9)</f>
        <v>0</v>
      </c>
      <c r="L66" s="39">
        <f>+'FY21'!L66*(1+MYP!$G$9)</f>
        <v>0</v>
      </c>
      <c r="M66" s="39">
        <f>+'FY21'!M66*(1+MYP!$G$9)</f>
        <v>0</v>
      </c>
      <c r="N66" s="39">
        <f>+'FY21'!N66*(1+MYP!$G$9)</f>
        <v>0</v>
      </c>
      <c r="O66" s="39">
        <f>+'FY21'!O66*(1+MYP!$G$9)</f>
        <v>0</v>
      </c>
      <c r="P66" s="39">
        <f>+'FY21'!P66*(1+MYP!$G$9)</f>
        <v>0</v>
      </c>
      <c r="Q66" s="100"/>
      <c r="R66" s="41"/>
      <c r="S66" s="59">
        <f t="shared" si="20"/>
        <v>2040</v>
      </c>
      <c r="T66" s="41"/>
      <c r="U66" s="39">
        <f>'FY21'!S66</f>
        <v>2000</v>
      </c>
      <c r="V66" s="39">
        <f t="shared" si="21"/>
        <v>-40</v>
      </c>
      <c r="W66" s="39"/>
    </row>
    <row r="67" spans="3:23" s="37" customFormat="1" ht="12" x14ac:dyDescent="0.2">
      <c r="C67" s="199">
        <v>6334</v>
      </c>
      <c r="D67" s="37" t="s">
        <v>12</v>
      </c>
      <c r="E67" s="39">
        <f>+'FY21'!E67*(1+MYP!$G$9)</f>
        <v>632.4</v>
      </c>
      <c r="F67" s="39">
        <f>+'FY21'!F67*(1+MYP!$G$9)</f>
        <v>4557.3599999999997</v>
      </c>
      <c r="G67" s="39">
        <f>+'FY21'!G67*(1+MYP!$G$9)</f>
        <v>1448.4</v>
      </c>
      <c r="H67" s="39">
        <f>+'FY21'!H67*(1+MYP!$G$9)</f>
        <v>2060.4</v>
      </c>
      <c r="I67" s="39">
        <f>+'FY21'!I67*(1+MYP!$G$9)</f>
        <v>632.4</v>
      </c>
      <c r="J67" s="39">
        <f>+'FY21'!J67*(1+MYP!$G$9)</f>
        <v>1065.9000000000001</v>
      </c>
      <c r="K67" s="39">
        <f>+'FY21'!K67*(1+MYP!$G$9)</f>
        <v>1040.4000000000001</v>
      </c>
      <c r="L67" s="39">
        <f>+'FY21'!L67*(1+MYP!$G$9)</f>
        <v>1652.4</v>
      </c>
      <c r="M67" s="39">
        <f>+'FY21'!M67*(1+MYP!$G$9)</f>
        <v>632.4</v>
      </c>
      <c r="N67" s="39">
        <f>+'FY21'!N67*(1+MYP!$G$9)</f>
        <v>1040.4000000000001</v>
      </c>
      <c r="O67" s="39">
        <f>+'FY21'!O67*(1+MYP!$G$9)</f>
        <v>632.4</v>
      </c>
      <c r="P67" s="39">
        <f>+'FY21'!P67*(1+MYP!$G$9)</f>
        <v>632.4</v>
      </c>
      <c r="Q67" s="100"/>
      <c r="R67" s="41"/>
      <c r="S67" s="59">
        <f t="shared" si="20"/>
        <v>16027.259999999997</v>
      </c>
      <c r="T67" s="41"/>
      <c r="U67" s="39">
        <f>'FY21'!S67</f>
        <v>15713</v>
      </c>
      <c r="V67" s="39">
        <f t="shared" si="21"/>
        <v>-314.25999999999658</v>
      </c>
      <c r="W67" s="39"/>
    </row>
    <row r="68" spans="3:23" s="37" customFormat="1" ht="12" x14ac:dyDescent="0.2">
      <c r="C68" s="199">
        <v>6336</v>
      </c>
      <c r="D68" s="37" t="s">
        <v>13</v>
      </c>
      <c r="E68" s="39">
        <f>+'FY21'!E68*(1+MYP!$G$9)</f>
        <v>25.5</v>
      </c>
      <c r="F68" s="39">
        <f>+'FY21'!F68*(1+MYP!$G$9)</f>
        <v>2473.5</v>
      </c>
      <c r="G68" s="39">
        <f>+'FY21'!G68*(1+MYP!$G$9)</f>
        <v>433.5</v>
      </c>
      <c r="H68" s="39">
        <f>+'FY21'!H68*(1+MYP!$G$9)</f>
        <v>2320.5</v>
      </c>
      <c r="I68" s="39">
        <f>+'FY21'!I68*(1+MYP!$G$9)</f>
        <v>25.5</v>
      </c>
      <c r="J68" s="39">
        <f>+'FY21'!J68*(1+MYP!$G$9)</f>
        <v>545.70000000000005</v>
      </c>
      <c r="K68" s="39">
        <f>+'FY21'!K68*(1+MYP!$G$9)</f>
        <v>25.5</v>
      </c>
      <c r="L68" s="39">
        <f>+'FY21'!L68*(1+MYP!$G$9)</f>
        <v>2320.5</v>
      </c>
      <c r="M68" s="39">
        <f>+'FY21'!M68*(1+MYP!$G$9)</f>
        <v>25.5</v>
      </c>
      <c r="N68" s="39">
        <f>+'FY21'!N68*(1+MYP!$G$9)</f>
        <v>25.5</v>
      </c>
      <c r="O68" s="39">
        <f>+'FY21'!O68*(1+MYP!$G$9)</f>
        <v>25.5</v>
      </c>
      <c r="P68" s="39">
        <f>+'FY21'!P68*(1+MYP!$G$9)</f>
        <v>25.5</v>
      </c>
      <c r="Q68" s="100"/>
      <c r="R68" s="41"/>
      <c r="S68" s="59">
        <f t="shared" si="20"/>
        <v>8272.2000000000007</v>
      </c>
      <c r="T68" s="41"/>
      <c r="U68" s="39">
        <f>'FY21'!S68</f>
        <v>8110</v>
      </c>
      <c r="V68" s="39">
        <f t="shared" si="21"/>
        <v>-162.20000000000073</v>
      </c>
      <c r="W68" s="39"/>
    </row>
    <row r="69" spans="3:23" s="37" customFormat="1" ht="12" x14ac:dyDescent="0.2">
      <c r="C69" s="199">
        <v>6337</v>
      </c>
      <c r="D69" s="37" t="s">
        <v>14</v>
      </c>
      <c r="E69" s="39">
        <f>+'FY21'!E69*(1+MYP!$G$9)</f>
        <v>25.5</v>
      </c>
      <c r="F69" s="39">
        <f>+'FY21'!F69*(1+MYP!$G$9)</f>
        <v>2473.5</v>
      </c>
      <c r="G69" s="39">
        <f>+'FY21'!G69*(1+MYP!$G$9)</f>
        <v>433.5</v>
      </c>
      <c r="H69" s="39">
        <f>+'FY21'!H69*(1+MYP!$G$9)</f>
        <v>2320.5</v>
      </c>
      <c r="I69" s="39">
        <f>+'FY21'!I69*(1+MYP!$G$9)</f>
        <v>25.5</v>
      </c>
      <c r="J69" s="39">
        <f>+'FY21'!J69*(1+MYP!$G$9)</f>
        <v>545.70000000000005</v>
      </c>
      <c r="K69" s="39">
        <f>+'FY21'!K69*(1+MYP!$G$9)</f>
        <v>25.5</v>
      </c>
      <c r="L69" s="39">
        <f>+'FY21'!L69*(1+MYP!$G$9)</f>
        <v>2320.5</v>
      </c>
      <c r="M69" s="39">
        <f>+'FY21'!M69*(1+MYP!$G$9)</f>
        <v>25.5</v>
      </c>
      <c r="N69" s="39">
        <f>+'FY21'!N69*(1+MYP!$G$9)</f>
        <v>25.5</v>
      </c>
      <c r="O69" s="39">
        <f>+'FY21'!O69*(1+MYP!$G$9)</f>
        <v>25.5</v>
      </c>
      <c r="P69" s="39">
        <f>+'FY21'!P69*(1+MYP!$G$9)</f>
        <v>25.5</v>
      </c>
      <c r="Q69" s="100"/>
      <c r="R69" s="41"/>
      <c r="S69" s="59">
        <f t="shared" si="20"/>
        <v>8272.2000000000007</v>
      </c>
      <c r="T69" s="41"/>
      <c r="U69" s="39">
        <f>'FY21'!S69</f>
        <v>8110</v>
      </c>
      <c r="V69" s="39">
        <f t="shared" si="21"/>
        <v>-162.20000000000073</v>
      </c>
      <c r="W69" s="39"/>
    </row>
    <row r="70" spans="3:23" s="37" customFormat="1" ht="12" x14ac:dyDescent="0.2">
      <c r="C70" s="199">
        <v>6340</v>
      </c>
      <c r="D70" s="37" t="s">
        <v>15</v>
      </c>
      <c r="E70" s="39">
        <f>+'FY21'!E70*(1+MYP!$G$9)</f>
        <v>102</v>
      </c>
      <c r="F70" s="39">
        <f>+'FY21'!F70*(1+MYP!$G$9)</f>
        <v>6477</v>
      </c>
      <c r="G70" s="39">
        <f>+'FY21'!G70*(1+MYP!$G$9)</f>
        <v>3774</v>
      </c>
      <c r="H70" s="39">
        <f>+'FY21'!H70*(1+MYP!$G$9)</f>
        <v>27387</v>
      </c>
      <c r="I70" s="39">
        <f>+'FY21'!I70*(1+MYP!$G$9)</f>
        <v>1938</v>
      </c>
      <c r="J70" s="39">
        <f>+'FY21'!J70*(1+MYP!$G$9)</f>
        <v>102</v>
      </c>
      <c r="K70" s="39">
        <f>+'FY21'!K70*(1+MYP!$G$9)</f>
        <v>7344</v>
      </c>
      <c r="L70" s="39">
        <f>+'FY21'!L70*(1+MYP!$G$9)</f>
        <v>2437.0247999999997</v>
      </c>
      <c r="M70" s="39">
        <f>+'FY21'!M70*(1+MYP!$G$9)</f>
        <v>102</v>
      </c>
      <c r="N70" s="39">
        <f>+'FY21'!N70*(1+MYP!$G$9)</f>
        <v>867</v>
      </c>
      <c r="O70" s="39">
        <f>+'FY21'!O70*(1+MYP!$G$9)</f>
        <v>2601</v>
      </c>
      <c r="P70" s="39">
        <f>+'FY21'!P70*(1+MYP!$G$9)</f>
        <v>10633.5</v>
      </c>
      <c r="Q70" s="100"/>
      <c r="R70" s="41"/>
      <c r="S70" s="59">
        <f t="shared" si="20"/>
        <v>63764.524799999999</v>
      </c>
      <c r="T70" s="41"/>
      <c r="U70" s="39">
        <f>'FY21'!S70</f>
        <v>62514.239999999998</v>
      </c>
      <c r="V70" s="39">
        <f t="shared" si="21"/>
        <v>-1250.2848000000013</v>
      </c>
      <c r="W70" s="39"/>
    </row>
    <row r="71" spans="3:23" s="37" customFormat="1" ht="12" x14ac:dyDescent="0.2">
      <c r="C71" s="199">
        <v>6345</v>
      </c>
      <c r="D71" s="37" t="s">
        <v>16</v>
      </c>
      <c r="E71" s="39">
        <f>+'FY21'!E71*(1+MYP!$G$9)</f>
        <v>1657.5</v>
      </c>
      <c r="F71" s="39">
        <f>+'FY21'!F71*(1+MYP!$G$9)</f>
        <v>1657.5</v>
      </c>
      <c r="G71" s="39">
        <f>+'FY21'!G71*(1+MYP!$G$9)</f>
        <v>4105.5</v>
      </c>
      <c r="H71" s="39">
        <f>+'FY21'!H71*(1+MYP!$G$9)</f>
        <v>1657.5</v>
      </c>
      <c r="I71" s="39">
        <f>+'FY21'!I71*(1+MYP!$G$9)</f>
        <v>1657.5</v>
      </c>
      <c r="J71" s="39">
        <f>+'FY21'!J71*(1+MYP!$G$9)</f>
        <v>1657.5</v>
      </c>
      <c r="K71" s="39">
        <f>+'FY21'!K71*(1+MYP!$G$9)</f>
        <v>1657.5</v>
      </c>
      <c r="L71" s="39">
        <f>+'FY21'!L71*(1+MYP!$G$9)</f>
        <v>1657.5</v>
      </c>
      <c r="M71" s="39">
        <f>+'FY21'!M71*(1+MYP!$G$9)</f>
        <v>1657.5</v>
      </c>
      <c r="N71" s="39">
        <f>+'FY21'!N71*(1+MYP!$G$9)</f>
        <v>1657.5</v>
      </c>
      <c r="O71" s="39">
        <f>+'FY21'!O71*(1+MYP!$G$9)</f>
        <v>1657.5</v>
      </c>
      <c r="P71" s="39">
        <f>+'FY21'!P71*(1+MYP!$G$9)</f>
        <v>1657.5</v>
      </c>
      <c r="Q71" s="100"/>
      <c r="R71" s="41"/>
      <c r="S71" s="59">
        <f t="shared" si="20"/>
        <v>22338</v>
      </c>
      <c r="T71" s="41"/>
      <c r="U71" s="39">
        <f>'FY21'!S71</f>
        <v>21900</v>
      </c>
      <c r="V71" s="39">
        <f t="shared" si="21"/>
        <v>-438</v>
      </c>
      <c r="W71" s="39"/>
    </row>
    <row r="72" spans="3:23" s="37" customFormat="1" ht="12" x14ac:dyDescent="0.2">
      <c r="C72" s="199">
        <v>6350</v>
      </c>
      <c r="D72" s="37" t="s">
        <v>17</v>
      </c>
      <c r="E72" s="39">
        <f>+'FY21'!E72*(1+MYP!$G$9)</f>
        <v>102</v>
      </c>
      <c r="F72" s="39">
        <f>+'FY21'!F72*(1+MYP!$G$9)</f>
        <v>102</v>
      </c>
      <c r="G72" s="39">
        <f>+'FY21'!G72*(1+MYP!$G$9)</f>
        <v>867</v>
      </c>
      <c r="H72" s="39">
        <f>+'FY21'!H72*(1+MYP!$G$9)</f>
        <v>1377</v>
      </c>
      <c r="I72" s="39">
        <f>+'FY21'!I72*(1+MYP!$G$9)</f>
        <v>867</v>
      </c>
      <c r="J72" s="39">
        <f>+'FY21'!J72*(1+MYP!$G$9)</f>
        <v>102</v>
      </c>
      <c r="K72" s="39">
        <f>+'FY21'!K72*(1+MYP!$G$9)</f>
        <v>612</v>
      </c>
      <c r="L72" s="39">
        <f>+'FY21'!L72*(1+MYP!$G$9)</f>
        <v>1122</v>
      </c>
      <c r="M72" s="39">
        <f>+'FY21'!M72*(1+MYP!$G$9)</f>
        <v>612</v>
      </c>
      <c r="N72" s="39">
        <f>+'FY21'!N72*(1+MYP!$G$9)</f>
        <v>102</v>
      </c>
      <c r="O72" s="39">
        <f>+'FY21'!O72*(1+MYP!$G$9)</f>
        <v>357</v>
      </c>
      <c r="P72" s="39">
        <f>+'FY21'!P72*(1+MYP!$G$9)</f>
        <v>102</v>
      </c>
      <c r="Q72" s="100"/>
      <c r="R72" s="41"/>
      <c r="S72" s="59">
        <f t="shared" si="20"/>
        <v>6324</v>
      </c>
      <c r="T72" s="41"/>
      <c r="U72" s="39">
        <f>'FY21'!S72</f>
        <v>6200</v>
      </c>
      <c r="V72" s="39">
        <f t="shared" si="21"/>
        <v>-124</v>
      </c>
      <c r="W72" s="39"/>
    </row>
    <row r="73" spans="3:23" s="37" customFormat="1" ht="12" x14ac:dyDescent="0.2">
      <c r="C73" s="199">
        <v>6351</v>
      </c>
      <c r="D73" s="37" t="s">
        <v>18</v>
      </c>
      <c r="E73" s="39">
        <f>+'FY21'!E73*(1+MYP!$G$9)</f>
        <v>0</v>
      </c>
      <c r="F73" s="39">
        <f>+'FY21'!F73*(1+MYP!$G$9)</f>
        <v>0</v>
      </c>
      <c r="G73" s="39">
        <f>+'FY21'!G73*(1+MYP!$G$9)</f>
        <v>0</v>
      </c>
      <c r="H73" s="39">
        <f>+'FY21'!H73*(1+MYP!$G$9)</f>
        <v>24435.895199999999</v>
      </c>
      <c r="I73" s="39">
        <f>+'FY21'!I73*(1+MYP!$G$9)</f>
        <v>863.16480000000001</v>
      </c>
      <c r="J73" s="39">
        <f>+'FY21'!J73*(1+MYP!$G$9)</f>
        <v>0</v>
      </c>
      <c r="K73" s="39">
        <f>+'FY21'!K73*(1+MYP!$G$9)</f>
        <v>0</v>
      </c>
      <c r="L73" s="39">
        <f>+'FY21'!L73*(1+MYP!$G$9)</f>
        <v>2974.32</v>
      </c>
      <c r="M73" s="39">
        <f>+'FY21'!M73*(1+MYP!$G$9)</f>
        <v>0</v>
      </c>
      <c r="N73" s="39">
        <f>+'FY21'!N73*(1+MYP!$G$9)</f>
        <v>10098</v>
      </c>
      <c r="O73" s="39">
        <f>+'FY21'!O73*(1+MYP!$G$9)</f>
        <v>0</v>
      </c>
      <c r="P73" s="39">
        <f>+'FY21'!P73*(1+MYP!$G$9)</f>
        <v>0</v>
      </c>
      <c r="Q73" s="100"/>
      <c r="R73" s="41"/>
      <c r="S73" s="59">
        <f t="shared" si="20"/>
        <v>38371.379999999997</v>
      </c>
      <c r="T73" s="41"/>
      <c r="U73" s="39">
        <f>'FY21'!S73</f>
        <v>37619</v>
      </c>
      <c r="V73" s="39">
        <f t="shared" si="21"/>
        <v>-752.37999999999738</v>
      </c>
      <c r="W73" s="39"/>
    </row>
    <row r="74" spans="3:23" s="37" customFormat="1" ht="12" x14ac:dyDescent="0.2">
      <c r="C74" s="38"/>
      <c r="E74" s="50">
        <f>SUBTOTAL(9,E64:E73)</f>
        <v>5604.9</v>
      </c>
      <c r="F74" s="50">
        <f t="shared" ref="F74:V74" si="22">SUBTOTAL(9,F64:F73)</f>
        <v>27522.66</v>
      </c>
      <c r="G74" s="50">
        <f t="shared" si="22"/>
        <v>32782.800000000003</v>
      </c>
      <c r="H74" s="50">
        <f t="shared" si="22"/>
        <v>70371.595199999996</v>
      </c>
      <c r="I74" s="50">
        <f t="shared" si="22"/>
        <v>10690.864800000001</v>
      </c>
      <c r="J74" s="50">
        <f t="shared" si="22"/>
        <v>7823.4</v>
      </c>
      <c r="K74" s="50">
        <f t="shared" si="22"/>
        <v>27585.9</v>
      </c>
      <c r="L74" s="50">
        <f t="shared" si="22"/>
        <v>18635.644799999998</v>
      </c>
      <c r="M74" s="50">
        <f t="shared" si="22"/>
        <v>5171.3999999999996</v>
      </c>
      <c r="N74" s="50">
        <f t="shared" si="22"/>
        <v>28809.9</v>
      </c>
      <c r="O74" s="50">
        <f t="shared" si="22"/>
        <v>7338.9</v>
      </c>
      <c r="P74" s="50">
        <f t="shared" si="22"/>
        <v>27611.4</v>
      </c>
      <c r="Q74" s="99"/>
      <c r="R74" s="41"/>
      <c r="S74" s="61">
        <f t="shared" si="22"/>
        <v>269949.36479999998</v>
      </c>
      <c r="T74" s="41"/>
      <c r="U74" s="50">
        <f t="shared" si="22"/>
        <v>264656.24</v>
      </c>
      <c r="V74" s="50">
        <f t="shared" si="22"/>
        <v>-5293.1247999999923</v>
      </c>
      <c r="W74" s="39"/>
    </row>
    <row r="75" spans="3:23" s="37" customFormat="1" ht="12" x14ac:dyDescent="0.2">
      <c r="C75" s="49" t="s">
        <v>100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100"/>
      <c r="R75" s="41"/>
      <c r="S75" s="59"/>
      <c r="T75" s="41"/>
      <c r="U75" s="39"/>
      <c r="V75" s="39"/>
      <c r="W75" s="39"/>
    </row>
    <row r="76" spans="3:23" s="37" customFormat="1" ht="12" x14ac:dyDescent="0.2">
      <c r="C76" s="199">
        <v>6410</v>
      </c>
      <c r="D76" s="37" t="s">
        <v>19</v>
      </c>
      <c r="E76" s="39">
        <f>+'FY21'!E76*(1+MYP!$G$9)</f>
        <v>0</v>
      </c>
      <c r="F76" s="39">
        <f>+'FY21'!F76*(1+MYP!$G$9)</f>
        <v>0</v>
      </c>
      <c r="G76" s="39">
        <f>+'FY21'!G76*(1+MYP!$G$9)</f>
        <v>0</v>
      </c>
      <c r="H76" s="39">
        <f>+'FY21'!H76*(1+MYP!$G$9)</f>
        <v>0</v>
      </c>
      <c r="I76" s="39">
        <f>+'FY21'!I76*(1+MYP!$G$9)</f>
        <v>0</v>
      </c>
      <c r="J76" s="39">
        <f>+'FY21'!J76*(1+MYP!$G$9)</f>
        <v>0</v>
      </c>
      <c r="K76" s="39">
        <f>+'FY21'!K76*(1+MYP!$G$9)</f>
        <v>0</v>
      </c>
      <c r="L76" s="39">
        <f>+'FY21'!L76*(1+MYP!$G$9)</f>
        <v>0</v>
      </c>
      <c r="M76" s="39">
        <f>+'FY21'!M76*(1+MYP!$G$9)</f>
        <v>0</v>
      </c>
      <c r="N76" s="39">
        <f>+'FY21'!N76*(1+MYP!$G$9)</f>
        <v>0</v>
      </c>
      <c r="O76" s="39">
        <f>+'FY21'!O76*(1+MYP!$G$9)</f>
        <v>0</v>
      </c>
      <c r="P76" s="39">
        <f>+'FY21'!P76*(1+MYP!$G$9)</f>
        <v>0</v>
      </c>
      <c r="Q76" s="100"/>
      <c r="R76" s="41"/>
      <c r="S76" s="59">
        <f t="shared" ref="S76:S79" si="23">SUM(E76:Q76)</f>
        <v>0</v>
      </c>
      <c r="T76" s="41"/>
      <c r="U76" s="39">
        <f>'FY21'!S76</f>
        <v>0</v>
      </c>
      <c r="V76" s="39">
        <f t="shared" ref="V76:V79" si="24">U76-S76</f>
        <v>0</v>
      </c>
      <c r="W76" s="39"/>
    </row>
    <row r="77" spans="3:23" s="37" customFormat="1" ht="12" x14ac:dyDescent="0.2">
      <c r="C77" s="199">
        <v>6420</v>
      </c>
      <c r="D77" s="37" t="s">
        <v>20</v>
      </c>
      <c r="E77" s="39">
        <f>+'FY21'!E77*(1+MYP!$G$9)</f>
        <v>617.1</v>
      </c>
      <c r="F77" s="39">
        <f>+'FY21'!F77*(1+MYP!$G$9)</f>
        <v>408</v>
      </c>
      <c r="G77" s="39">
        <f>+'FY21'!G77*(1+MYP!$G$9)</f>
        <v>408</v>
      </c>
      <c r="H77" s="39">
        <f>+'FY21'!H77*(1+MYP!$G$9)</f>
        <v>617.1</v>
      </c>
      <c r="I77" s="39">
        <f>+'FY21'!I77*(1+MYP!$G$9)</f>
        <v>408</v>
      </c>
      <c r="J77" s="39">
        <f>+'FY21'!J77*(1+MYP!$G$9)</f>
        <v>408</v>
      </c>
      <c r="K77" s="39">
        <f>+'FY21'!K77*(1+MYP!$G$9)</f>
        <v>617.1</v>
      </c>
      <c r="L77" s="39">
        <f>+'FY21'!L77*(1+MYP!$G$9)</f>
        <v>408</v>
      </c>
      <c r="M77" s="39">
        <f>+'FY21'!M77*(1+MYP!$G$9)</f>
        <v>408</v>
      </c>
      <c r="N77" s="39">
        <f>+'FY21'!N77*(1+MYP!$G$9)</f>
        <v>408</v>
      </c>
      <c r="O77" s="39">
        <f>+'FY21'!O77*(1+MYP!$G$9)</f>
        <v>617.1</v>
      </c>
      <c r="P77" s="39">
        <f>+'FY21'!P77*(1+MYP!$G$9)</f>
        <v>408</v>
      </c>
      <c r="Q77" s="100"/>
      <c r="R77" s="41"/>
      <c r="S77" s="59">
        <f t="shared" si="23"/>
        <v>5732.4</v>
      </c>
      <c r="T77" s="41"/>
      <c r="U77" s="39">
        <f>'FY21'!S77</f>
        <v>5620</v>
      </c>
      <c r="V77" s="39">
        <f t="shared" si="24"/>
        <v>-112.39999999999964</v>
      </c>
      <c r="W77" s="39"/>
    </row>
    <row r="78" spans="3:23" s="37" customFormat="1" ht="12" x14ac:dyDescent="0.2">
      <c r="C78" s="199">
        <v>6430</v>
      </c>
      <c r="D78" s="37" t="s">
        <v>21</v>
      </c>
      <c r="E78" s="39">
        <f>+'FY21'!E78*(1+MYP!$G$9)</f>
        <v>0</v>
      </c>
      <c r="F78" s="39">
        <f>+'FY21'!F78*(1+MYP!$G$9)</f>
        <v>0</v>
      </c>
      <c r="G78" s="39">
        <f>+'FY21'!G78*(1+MYP!$G$9)</f>
        <v>153</v>
      </c>
      <c r="H78" s="39">
        <f>+'FY21'!H78*(1+MYP!$G$9)</f>
        <v>153</v>
      </c>
      <c r="I78" s="39">
        <f>+'FY21'!I78*(1+MYP!$G$9)</f>
        <v>0</v>
      </c>
      <c r="J78" s="39">
        <f>+'FY21'!J78*(1+MYP!$G$9)</f>
        <v>0</v>
      </c>
      <c r="K78" s="39">
        <f>+'FY21'!K78*(1+MYP!$G$9)</f>
        <v>0</v>
      </c>
      <c r="L78" s="39">
        <f>+'FY21'!L78*(1+MYP!$G$9)</f>
        <v>0</v>
      </c>
      <c r="M78" s="39">
        <f>+'FY21'!M78*(1+MYP!$G$9)</f>
        <v>153</v>
      </c>
      <c r="N78" s="39">
        <f>+'FY21'!N78*(1+MYP!$G$9)</f>
        <v>153</v>
      </c>
      <c r="O78" s="39">
        <f>+'FY21'!O78*(1+MYP!$G$9)</f>
        <v>0</v>
      </c>
      <c r="P78" s="39">
        <f>+'FY21'!P78*(1+MYP!$G$9)</f>
        <v>0</v>
      </c>
      <c r="Q78" s="100"/>
      <c r="R78" s="41"/>
      <c r="S78" s="59">
        <f t="shared" si="23"/>
        <v>612</v>
      </c>
      <c r="T78" s="41"/>
      <c r="U78" s="39">
        <f>'FY21'!S78</f>
        <v>600</v>
      </c>
      <c r="V78" s="39">
        <f t="shared" si="24"/>
        <v>-12</v>
      </c>
      <c r="W78" s="39"/>
    </row>
    <row r="79" spans="3:23" s="37" customFormat="1" ht="12" x14ac:dyDescent="0.2">
      <c r="C79" s="199">
        <v>6441</v>
      </c>
      <c r="D79" s="37" t="s">
        <v>22</v>
      </c>
      <c r="E79" s="39">
        <f>+'FY21'!E79*(1+MYP!$G$9)</f>
        <v>5317.26</v>
      </c>
      <c r="F79" s="39">
        <f>+'FY21'!F79*(1+MYP!$G$9)</f>
        <v>23371.260000000002</v>
      </c>
      <c r="G79" s="39">
        <f>+'FY21'!G79*(1+MYP!$G$9)</f>
        <v>8122.26</v>
      </c>
      <c r="H79" s="39">
        <f>+'FY21'!H79*(1+MYP!$G$9)</f>
        <v>8122.26</v>
      </c>
      <c r="I79" s="39">
        <f>+'FY21'!I79*(1+MYP!$G$9)</f>
        <v>8122.26</v>
      </c>
      <c r="J79" s="39">
        <f>+'FY21'!J79*(1+MYP!$G$9)</f>
        <v>5317.26</v>
      </c>
      <c r="K79" s="39">
        <f>+'FY21'!K79*(1+MYP!$G$9)</f>
        <v>9397.26</v>
      </c>
      <c r="L79" s="39">
        <f>+'FY21'!L79*(1+MYP!$G$9)</f>
        <v>8122.26</v>
      </c>
      <c r="M79" s="39">
        <f>+'FY21'!M79*(1+MYP!$G$9)</f>
        <v>8122.26</v>
      </c>
      <c r="N79" s="39">
        <f>+'FY21'!N79*(1+MYP!$G$9)</f>
        <v>11182.26</v>
      </c>
      <c r="O79" s="39">
        <f>+'FY21'!O79*(1+MYP!$G$9)</f>
        <v>5317.26</v>
      </c>
      <c r="P79" s="39">
        <f>+'FY21'!P79*(1+MYP!$G$9)</f>
        <v>5317.26</v>
      </c>
      <c r="Q79" s="100"/>
      <c r="R79" s="41"/>
      <c r="S79" s="59">
        <f t="shared" si="23"/>
        <v>105831.11999999998</v>
      </c>
      <c r="T79" s="41"/>
      <c r="U79" s="39">
        <f>'FY21'!S79</f>
        <v>103756</v>
      </c>
      <c r="V79" s="39">
        <f t="shared" si="24"/>
        <v>-2075.1199999999808</v>
      </c>
      <c r="W79" s="39"/>
    </row>
    <row r="80" spans="3:23" s="37" customFormat="1" ht="12" x14ac:dyDescent="0.2">
      <c r="C80" s="38"/>
      <c r="E80" s="50">
        <f>SUBTOTAL(9,E76:E79)</f>
        <v>5934.3600000000006</v>
      </c>
      <c r="F80" s="50">
        <f t="shared" ref="F80:V80" si="25">SUBTOTAL(9,F76:F79)</f>
        <v>23779.260000000002</v>
      </c>
      <c r="G80" s="50">
        <f t="shared" si="25"/>
        <v>8683.26</v>
      </c>
      <c r="H80" s="50">
        <f t="shared" si="25"/>
        <v>8892.36</v>
      </c>
      <c r="I80" s="50">
        <f t="shared" si="25"/>
        <v>8530.26</v>
      </c>
      <c r="J80" s="50">
        <f t="shared" si="25"/>
        <v>5725.26</v>
      </c>
      <c r="K80" s="50">
        <f t="shared" si="25"/>
        <v>10014.36</v>
      </c>
      <c r="L80" s="50">
        <f t="shared" si="25"/>
        <v>8530.26</v>
      </c>
      <c r="M80" s="50">
        <f t="shared" si="25"/>
        <v>8683.26</v>
      </c>
      <c r="N80" s="50">
        <f t="shared" si="25"/>
        <v>11743.26</v>
      </c>
      <c r="O80" s="50">
        <f t="shared" si="25"/>
        <v>5934.3600000000006</v>
      </c>
      <c r="P80" s="50">
        <f t="shared" si="25"/>
        <v>5725.26</v>
      </c>
      <c r="Q80" s="99"/>
      <c r="R80" s="41"/>
      <c r="S80" s="61">
        <f t="shared" si="25"/>
        <v>112175.51999999997</v>
      </c>
      <c r="T80" s="41"/>
      <c r="U80" s="50">
        <f t="shared" si="25"/>
        <v>109976</v>
      </c>
      <c r="V80" s="50">
        <f t="shared" si="25"/>
        <v>-2199.5199999999804</v>
      </c>
      <c r="W80" s="39"/>
    </row>
    <row r="81" spans="3:23" s="37" customFormat="1" ht="12" x14ac:dyDescent="0.2">
      <c r="C81" s="49" t="s">
        <v>101</v>
      </c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100"/>
      <c r="R81" s="41"/>
      <c r="S81" s="59"/>
      <c r="T81" s="41"/>
      <c r="U81" s="39"/>
      <c r="V81" s="39"/>
      <c r="W81" s="39"/>
    </row>
    <row r="82" spans="3:23" s="37" customFormat="1" ht="12" x14ac:dyDescent="0.2">
      <c r="C82" s="199">
        <v>6519</v>
      </c>
      <c r="D82" s="37" t="s">
        <v>234</v>
      </c>
      <c r="E82" s="39">
        <f>+'FY21'!E82*(1+MYP!$G$9)</f>
        <v>0</v>
      </c>
      <c r="F82" s="39">
        <f>+'FY21'!F82*(1+MYP!$G$9)</f>
        <v>0</v>
      </c>
      <c r="G82" s="39">
        <f>+'FY21'!G82*(1+MYP!$G$9)</f>
        <v>0</v>
      </c>
      <c r="H82" s="39">
        <f>+'FY21'!H82*(1+MYP!$G$9)</f>
        <v>0</v>
      </c>
      <c r="I82" s="39">
        <f>+'FY21'!I82*(1+MYP!$G$9)</f>
        <v>0</v>
      </c>
      <c r="J82" s="39">
        <f>+'FY21'!J82*(1+MYP!$G$9)</f>
        <v>0</v>
      </c>
      <c r="K82" s="39">
        <f>+'FY21'!K82*(1+MYP!$G$9)</f>
        <v>0</v>
      </c>
      <c r="L82" s="39">
        <f>+'FY21'!L82*(1+MYP!$G$9)</f>
        <v>0</v>
      </c>
      <c r="M82" s="39">
        <f>+'FY21'!M82*(1+MYP!$G$9)</f>
        <v>0</v>
      </c>
      <c r="N82" s="39">
        <f>+'FY21'!N82*(1+MYP!$G$9)</f>
        <v>0</v>
      </c>
      <c r="O82" s="39">
        <f>+'FY21'!O82*(1+MYP!$G$9)</f>
        <v>0</v>
      </c>
      <c r="P82" s="39">
        <f>+'FY21'!P82*(1+MYP!$G$9)</f>
        <v>0</v>
      </c>
      <c r="Q82" s="100"/>
      <c r="R82" s="41"/>
      <c r="S82" s="59">
        <f t="shared" ref="S82:S93" si="26">SUM(E82:Q82)</f>
        <v>0</v>
      </c>
      <c r="T82" s="41"/>
      <c r="U82" s="39">
        <f>'FY21'!S82</f>
        <v>0</v>
      </c>
      <c r="V82" s="39">
        <f t="shared" ref="V82:V93" si="27">U82-S82</f>
        <v>0</v>
      </c>
      <c r="W82" s="39"/>
    </row>
    <row r="83" spans="3:23" s="37" customFormat="1" ht="12" x14ac:dyDescent="0.2">
      <c r="C83" s="199">
        <v>6521</v>
      </c>
      <c r="D83" s="37" t="s">
        <v>24</v>
      </c>
      <c r="E83" s="39">
        <f>+'FY21'!E83*(1+MYP!$G$9)</f>
        <v>151.30000000000001</v>
      </c>
      <c r="F83" s="39">
        <f>+'FY21'!F83*(1+MYP!$G$9)</f>
        <v>151.30000000000001</v>
      </c>
      <c r="G83" s="39">
        <f>+'FY21'!G83*(1+MYP!$G$9)</f>
        <v>151.30000000000001</v>
      </c>
      <c r="H83" s="39">
        <f>+'FY21'!H83*(1+MYP!$G$9)</f>
        <v>151.30000000000001</v>
      </c>
      <c r="I83" s="39">
        <f>+'FY21'!I83*(1+MYP!$G$9)</f>
        <v>151.30000000000001</v>
      </c>
      <c r="J83" s="39">
        <f>+'FY21'!J83*(1+MYP!$G$9)</f>
        <v>151.30000000000001</v>
      </c>
      <c r="K83" s="39">
        <f>+'FY21'!K83*(1+MYP!$G$9)</f>
        <v>151.30000000000001</v>
      </c>
      <c r="L83" s="39">
        <f>+'FY21'!L83*(1+MYP!$G$9)</f>
        <v>151.30000000000001</v>
      </c>
      <c r="M83" s="39">
        <f>+'FY21'!M83*(1+MYP!$G$9)</f>
        <v>151.30000000000001</v>
      </c>
      <c r="N83" s="39">
        <f>+'FY21'!N83*(1+MYP!$G$9)</f>
        <v>151.30000000000001</v>
      </c>
      <c r="O83" s="39">
        <f>+'FY21'!O83*(1+MYP!$G$9)</f>
        <v>151.30000000000001</v>
      </c>
      <c r="P83" s="39">
        <f>+'FY21'!P83*(1+MYP!$G$9)</f>
        <v>151.30000000000001</v>
      </c>
      <c r="Q83" s="100"/>
      <c r="R83" s="41"/>
      <c r="S83" s="59">
        <f t="shared" si="26"/>
        <v>1815.5999999999997</v>
      </c>
      <c r="T83" s="41"/>
      <c r="U83" s="39">
        <f>'FY21'!S83</f>
        <v>1779.9999999999998</v>
      </c>
      <c r="V83" s="39">
        <f t="shared" si="27"/>
        <v>-35.599999999999909</v>
      </c>
      <c r="W83" s="39"/>
    </row>
    <row r="84" spans="3:23" s="37" customFormat="1" ht="12" x14ac:dyDescent="0.2">
      <c r="C84" s="199">
        <v>6522</v>
      </c>
      <c r="D84" s="37" t="s">
        <v>25</v>
      </c>
      <c r="E84" s="39">
        <f>+'FY21'!E84*(1+MYP!$G$9)</f>
        <v>2564.1950000000002</v>
      </c>
      <c r="F84" s="39">
        <f>+'FY21'!F84*(1+MYP!$G$9)</f>
        <v>2564.1950000000002</v>
      </c>
      <c r="G84" s="39">
        <f>+'FY21'!G84*(1+MYP!$G$9)</f>
        <v>2564.1950000000002</v>
      </c>
      <c r="H84" s="39">
        <f>+'FY21'!H84*(1+MYP!$G$9)</f>
        <v>2564.1950000000002</v>
      </c>
      <c r="I84" s="39">
        <f>+'FY21'!I84*(1+MYP!$G$9)</f>
        <v>2564.1950000000002</v>
      </c>
      <c r="J84" s="39">
        <f>+'FY21'!J84*(1+MYP!$G$9)</f>
        <v>2564.1950000000002</v>
      </c>
      <c r="K84" s="39">
        <f>+'FY21'!K84*(1+MYP!$G$9)</f>
        <v>2564.1950000000002</v>
      </c>
      <c r="L84" s="39">
        <f>+'FY21'!L84*(1+MYP!$G$9)</f>
        <v>2564.1950000000002</v>
      </c>
      <c r="M84" s="39">
        <f>+'FY21'!M84*(1+MYP!$G$9)</f>
        <v>2564.1950000000002</v>
      </c>
      <c r="N84" s="39">
        <f>+'FY21'!N84*(1+MYP!$G$9)</f>
        <v>2564.1950000000002</v>
      </c>
      <c r="O84" s="39">
        <f>+'FY21'!O84*(1+MYP!$G$9)</f>
        <v>2564.1950000000002</v>
      </c>
      <c r="P84" s="39">
        <f>+'FY21'!P84*(1+MYP!$G$9)</f>
        <v>2564.1950000000002</v>
      </c>
      <c r="Q84" s="100"/>
      <c r="R84" s="41"/>
      <c r="S84" s="59">
        <f t="shared" si="26"/>
        <v>30770.34</v>
      </c>
      <c r="T84" s="41"/>
      <c r="U84" s="39">
        <f>'FY21'!S84</f>
        <v>30167.000000000011</v>
      </c>
      <c r="V84" s="39">
        <f t="shared" si="27"/>
        <v>-603.33999999998923</v>
      </c>
      <c r="W84" s="39"/>
    </row>
    <row r="85" spans="3:23" s="37" customFormat="1" ht="12" x14ac:dyDescent="0.2">
      <c r="C85" s="199">
        <v>6523</v>
      </c>
      <c r="D85" s="37" t="s">
        <v>26</v>
      </c>
      <c r="E85" s="39">
        <f>+'FY21'!E85*(1+MYP!$G$9)</f>
        <v>1223.6599999999999</v>
      </c>
      <c r="F85" s="39">
        <f>+'FY21'!F85*(1+MYP!$G$9)</f>
        <v>1223.6599999999999</v>
      </c>
      <c r="G85" s="39">
        <f>+'FY21'!G85*(1+MYP!$G$9)</f>
        <v>1223.6599999999999</v>
      </c>
      <c r="H85" s="39">
        <f>+'FY21'!H85*(1+MYP!$G$9)</f>
        <v>1223.6599999999999</v>
      </c>
      <c r="I85" s="39">
        <f>+'FY21'!I85*(1+MYP!$G$9)</f>
        <v>1223.6599999999999</v>
      </c>
      <c r="J85" s="39">
        <f>+'FY21'!J85*(1+MYP!$G$9)</f>
        <v>1223.6599999999999</v>
      </c>
      <c r="K85" s="39">
        <f>+'FY21'!K85*(1+MYP!$G$9)</f>
        <v>1223.6599999999999</v>
      </c>
      <c r="L85" s="39">
        <f>+'FY21'!L85*(1+MYP!$G$9)</f>
        <v>1223.6599999999999</v>
      </c>
      <c r="M85" s="39">
        <f>+'FY21'!M85*(1+MYP!$G$9)</f>
        <v>1223.6599999999999</v>
      </c>
      <c r="N85" s="39">
        <f>+'FY21'!N85*(1+MYP!$G$9)</f>
        <v>1223.6599999999999</v>
      </c>
      <c r="O85" s="39">
        <f>+'FY21'!O85*(1+MYP!$G$9)</f>
        <v>1223.6599999999999</v>
      </c>
      <c r="P85" s="39">
        <f>+'FY21'!P85*(1+MYP!$G$9)</f>
        <v>1223.6599999999999</v>
      </c>
      <c r="Q85" s="100"/>
      <c r="R85" s="41"/>
      <c r="S85" s="59">
        <f t="shared" si="26"/>
        <v>14683.919999999998</v>
      </c>
      <c r="T85" s="41"/>
      <c r="U85" s="39">
        <f>'FY21'!S85</f>
        <v>14395.999999999995</v>
      </c>
      <c r="V85" s="39">
        <f t="shared" si="27"/>
        <v>-287.92000000000371</v>
      </c>
      <c r="W85" s="39"/>
    </row>
    <row r="86" spans="3:23" s="37" customFormat="1" ht="12" x14ac:dyDescent="0.2">
      <c r="C86" s="199">
        <v>6531</v>
      </c>
      <c r="D86" s="37" t="s">
        <v>27</v>
      </c>
      <c r="E86" s="39">
        <f>+'FY21'!E86*(1+MYP!$G$9)</f>
        <v>139.74</v>
      </c>
      <c r="F86" s="39">
        <f>+'FY21'!F86*(1+MYP!$G$9)</f>
        <v>139.74</v>
      </c>
      <c r="G86" s="39">
        <f>+'FY21'!G86*(1+MYP!$G$9)</f>
        <v>139.74</v>
      </c>
      <c r="H86" s="39">
        <f>+'FY21'!H86*(1+MYP!$G$9)</f>
        <v>139.74</v>
      </c>
      <c r="I86" s="39">
        <f>+'FY21'!I86*(1+MYP!$G$9)</f>
        <v>139.74</v>
      </c>
      <c r="J86" s="39">
        <f>+'FY21'!J86*(1+MYP!$G$9)</f>
        <v>139.74</v>
      </c>
      <c r="K86" s="39">
        <f>+'FY21'!K86*(1+MYP!$G$9)</f>
        <v>139.74</v>
      </c>
      <c r="L86" s="39">
        <f>+'FY21'!L86*(1+MYP!$G$9)</f>
        <v>139.74</v>
      </c>
      <c r="M86" s="39">
        <f>+'FY21'!M86*(1+MYP!$G$9)</f>
        <v>139.74</v>
      </c>
      <c r="N86" s="39">
        <f>+'FY21'!N86*(1+MYP!$G$9)</f>
        <v>139.74</v>
      </c>
      <c r="O86" s="39">
        <f>+'FY21'!O86*(1+MYP!$G$9)</f>
        <v>139.74</v>
      </c>
      <c r="P86" s="39">
        <f>+'FY21'!P86*(1+MYP!$G$9)</f>
        <v>4097.34</v>
      </c>
      <c r="Q86" s="100"/>
      <c r="R86" s="41"/>
      <c r="S86" s="59">
        <f t="shared" si="26"/>
        <v>5634.4800000000005</v>
      </c>
      <c r="T86" s="41"/>
      <c r="U86" s="39">
        <f>'FY21'!S86</f>
        <v>5524</v>
      </c>
      <c r="V86" s="39">
        <f t="shared" si="27"/>
        <v>-110.48000000000047</v>
      </c>
      <c r="W86" s="39"/>
    </row>
    <row r="87" spans="3:23" s="37" customFormat="1" ht="12" x14ac:dyDescent="0.2">
      <c r="C87" s="199">
        <v>6534</v>
      </c>
      <c r="D87" s="37" t="s">
        <v>28</v>
      </c>
      <c r="E87" s="39">
        <f>+'FY21'!E87*(1+MYP!$G$9)</f>
        <v>275.39999999999998</v>
      </c>
      <c r="F87" s="39">
        <f>+'FY21'!F87*(1+MYP!$G$9)</f>
        <v>275.39999999999998</v>
      </c>
      <c r="G87" s="39">
        <f>+'FY21'!G87*(1+MYP!$G$9)</f>
        <v>275.39999999999998</v>
      </c>
      <c r="H87" s="39">
        <f>+'FY21'!H87*(1+MYP!$G$9)</f>
        <v>275.39999999999998</v>
      </c>
      <c r="I87" s="39">
        <f>+'FY21'!I87*(1+MYP!$G$9)</f>
        <v>275.39999999999998</v>
      </c>
      <c r="J87" s="39">
        <f>+'FY21'!J87*(1+MYP!$G$9)</f>
        <v>275.39999999999998</v>
      </c>
      <c r="K87" s="39">
        <f>+'FY21'!K87*(1+MYP!$G$9)</f>
        <v>275.39999999999998</v>
      </c>
      <c r="L87" s="39">
        <f>+'FY21'!L87*(1+MYP!$G$9)</f>
        <v>275.39999999999998</v>
      </c>
      <c r="M87" s="39">
        <f>+'FY21'!M87*(1+MYP!$G$9)</f>
        <v>275.39999999999998</v>
      </c>
      <c r="N87" s="39">
        <f>+'FY21'!N87*(1+MYP!$G$9)</f>
        <v>275.39999999999998</v>
      </c>
      <c r="O87" s="39">
        <f>+'FY21'!O87*(1+MYP!$G$9)</f>
        <v>275.39999999999998</v>
      </c>
      <c r="P87" s="39">
        <f>+'FY21'!P87*(1+MYP!$G$9)</f>
        <v>275.39999999999998</v>
      </c>
      <c r="Q87" s="100"/>
      <c r="R87" s="41"/>
      <c r="S87" s="59">
        <f t="shared" si="26"/>
        <v>3304.8000000000006</v>
      </c>
      <c r="T87" s="41"/>
      <c r="U87" s="39">
        <f>'FY21'!S87</f>
        <v>3240</v>
      </c>
      <c r="V87" s="39">
        <f t="shared" si="27"/>
        <v>-64.800000000000637</v>
      </c>
      <c r="W87" s="39"/>
    </row>
    <row r="88" spans="3:23" s="37" customFormat="1" ht="12" x14ac:dyDescent="0.2">
      <c r="C88" s="199">
        <v>6535</v>
      </c>
      <c r="D88" s="37" t="s">
        <v>235</v>
      </c>
      <c r="E88" s="39">
        <f>+'FY21'!E88*(1+MYP!$G$9)</f>
        <v>4502.6675999999998</v>
      </c>
      <c r="F88" s="39">
        <f>+'FY21'!F88*(1+MYP!$G$9)</f>
        <v>4502.6675999999998</v>
      </c>
      <c r="G88" s="39">
        <f>+'FY21'!G88*(1+MYP!$G$9)</f>
        <v>4502.6675999999998</v>
      </c>
      <c r="H88" s="39">
        <f>+'FY21'!H88*(1+MYP!$G$9)</f>
        <v>4502.6675999999998</v>
      </c>
      <c r="I88" s="39">
        <f>+'FY21'!I88*(1+MYP!$G$9)</f>
        <v>4502.6675999999998</v>
      </c>
      <c r="J88" s="39">
        <f>+'FY21'!J88*(1+MYP!$G$9)</f>
        <v>4502.6675999999998</v>
      </c>
      <c r="K88" s="39">
        <f>+'FY21'!K88*(1+MYP!$G$9)</f>
        <v>4502.6675999999998</v>
      </c>
      <c r="L88" s="39">
        <f>+'FY21'!L88*(1+MYP!$G$9)</f>
        <v>4502.6675999999998</v>
      </c>
      <c r="M88" s="39">
        <f>+'FY21'!M88*(1+MYP!$G$9)</f>
        <v>4502.6675999999998</v>
      </c>
      <c r="N88" s="39">
        <f>+'FY21'!N88*(1+MYP!$G$9)</f>
        <v>4502.6675999999998</v>
      </c>
      <c r="O88" s="39">
        <f>+'FY21'!O88*(1+MYP!$G$9)</f>
        <v>4502.6675999999998</v>
      </c>
      <c r="P88" s="39">
        <f>+'FY21'!P88*(1+MYP!$G$9)</f>
        <v>4502.6675999999998</v>
      </c>
      <c r="Q88" s="100"/>
      <c r="R88" s="41"/>
      <c r="S88" s="59">
        <f t="shared" si="26"/>
        <v>54032.011200000001</v>
      </c>
      <c r="T88" s="41"/>
      <c r="U88" s="39">
        <f>'FY21'!S88</f>
        <v>52972.55999999999</v>
      </c>
      <c r="V88" s="39">
        <f t="shared" si="27"/>
        <v>-1059.4512000000104</v>
      </c>
      <c r="W88" s="39"/>
    </row>
    <row r="89" spans="3:23" s="37" customFormat="1" ht="12" x14ac:dyDescent="0.2">
      <c r="C89" s="199">
        <v>6540</v>
      </c>
      <c r="D89" s="37" t="s">
        <v>30</v>
      </c>
      <c r="E89" s="39">
        <f>+'FY21'!E89*(1+MYP!$G$9)</f>
        <v>816</v>
      </c>
      <c r="F89" s="39">
        <f>+'FY21'!F89*(1+MYP!$G$9)</f>
        <v>510</v>
      </c>
      <c r="G89" s="39">
        <f>+'FY21'!G89*(1+MYP!$G$9)</f>
        <v>2201.8842</v>
      </c>
      <c r="H89" s="39">
        <f>+'FY21'!H89*(1+MYP!$G$9)</f>
        <v>1275</v>
      </c>
      <c r="I89" s="39">
        <f>+'FY21'!I89*(1+MYP!$G$9)</f>
        <v>13668</v>
      </c>
      <c r="J89" s="39">
        <f>+'FY21'!J89*(1+MYP!$G$9)</f>
        <v>10251</v>
      </c>
      <c r="K89" s="39">
        <f>+'FY21'!K89*(1+MYP!$G$9)</f>
        <v>816</v>
      </c>
      <c r="L89" s="39">
        <f>+'FY21'!L89*(1+MYP!$G$9)</f>
        <v>12444</v>
      </c>
      <c r="M89" s="39">
        <f>+'FY21'!M89*(1+MYP!$G$9)</f>
        <v>2550</v>
      </c>
      <c r="N89" s="39">
        <f>+'FY21'!N89*(1+MYP!$G$9)</f>
        <v>14433</v>
      </c>
      <c r="O89" s="39">
        <f>+'FY21'!O89*(1+MYP!$G$9)</f>
        <v>1428</v>
      </c>
      <c r="P89" s="39">
        <f>+'FY21'!P89*(1+MYP!$G$9)</f>
        <v>1275</v>
      </c>
      <c r="Q89" s="100"/>
      <c r="R89" s="41"/>
      <c r="S89" s="59">
        <f t="shared" si="26"/>
        <v>61667.8842</v>
      </c>
      <c r="T89" s="41"/>
      <c r="U89" s="39">
        <f>'FY21'!S89</f>
        <v>60458.71</v>
      </c>
      <c r="V89" s="39">
        <f t="shared" si="27"/>
        <v>-1209.1742000000013</v>
      </c>
      <c r="W89" s="39"/>
    </row>
    <row r="90" spans="3:23" s="37" customFormat="1" ht="12" x14ac:dyDescent="0.2">
      <c r="C90" s="199">
        <v>6550</v>
      </c>
      <c r="D90" s="37" t="s">
        <v>31</v>
      </c>
      <c r="E90" s="39">
        <f>+'FY21'!E90*(1+MYP!$G$9)</f>
        <v>0</v>
      </c>
      <c r="F90" s="39">
        <f>+'FY21'!F90*(1+MYP!$G$9)</f>
        <v>0</v>
      </c>
      <c r="G90" s="39">
        <f>+'FY21'!G90*(1+MYP!$G$9)</f>
        <v>634.15440000000001</v>
      </c>
      <c r="H90" s="39">
        <f>+'FY21'!H90*(1+MYP!$G$9)</f>
        <v>0</v>
      </c>
      <c r="I90" s="39">
        <f>+'FY21'!I90*(1+MYP!$G$9)</f>
        <v>0</v>
      </c>
      <c r="J90" s="39">
        <f>+'FY21'!J90*(1+MYP!$G$9)</f>
        <v>0</v>
      </c>
      <c r="K90" s="39">
        <f>+'FY21'!K90*(1+MYP!$G$9)</f>
        <v>0</v>
      </c>
      <c r="L90" s="39">
        <f>+'FY21'!L90*(1+MYP!$G$9)</f>
        <v>0</v>
      </c>
      <c r="M90" s="39">
        <f>+'FY21'!M90*(1+MYP!$G$9)</f>
        <v>0</v>
      </c>
      <c r="N90" s="39">
        <f>+'FY21'!N90*(1+MYP!$G$9)</f>
        <v>0</v>
      </c>
      <c r="O90" s="39">
        <f>+'FY21'!O90*(1+MYP!$G$9)</f>
        <v>0</v>
      </c>
      <c r="P90" s="39">
        <f>+'FY21'!P90*(1+MYP!$G$9)</f>
        <v>0</v>
      </c>
      <c r="Q90" s="100"/>
      <c r="R90" s="41"/>
      <c r="S90" s="59">
        <f t="shared" si="26"/>
        <v>634.15440000000001</v>
      </c>
      <c r="T90" s="41"/>
      <c r="U90" s="39">
        <f>'FY21'!S90</f>
        <v>621.72</v>
      </c>
      <c r="V90" s="39">
        <f t="shared" si="27"/>
        <v>-12.434399999999982</v>
      </c>
      <c r="W90" s="39"/>
    </row>
    <row r="91" spans="3:23" s="37" customFormat="1" ht="12" x14ac:dyDescent="0.2">
      <c r="C91" s="206">
        <v>6568</v>
      </c>
      <c r="D91" s="37" t="s">
        <v>186</v>
      </c>
      <c r="E91" s="39">
        <f>+'FY21'!E91*(1+MYP!$G$9)</f>
        <v>0</v>
      </c>
      <c r="F91" s="39">
        <f>+'FY21'!F91*(1+MYP!$G$9)</f>
        <v>0</v>
      </c>
      <c r="G91" s="39">
        <f>+'FY21'!G91*(1+MYP!$G$9)</f>
        <v>0</v>
      </c>
      <c r="H91" s="39">
        <f>+'FY21'!H91*(1+MYP!$G$9)</f>
        <v>0</v>
      </c>
      <c r="I91" s="39">
        <f>+'FY21'!I91*(1+MYP!$G$9)</f>
        <v>0</v>
      </c>
      <c r="J91" s="39">
        <f>+'FY21'!J91*(1+MYP!$G$9)</f>
        <v>0</v>
      </c>
      <c r="K91" s="39">
        <f>+'FY21'!K91*(1+MYP!$G$9)</f>
        <v>0</v>
      </c>
      <c r="L91" s="39">
        <f>+'FY21'!L91*(1+MYP!$G$9)</f>
        <v>0</v>
      </c>
      <c r="M91" s="39">
        <f>+'FY21'!M91*(1+MYP!$G$9)</f>
        <v>0</v>
      </c>
      <c r="N91" s="39">
        <f>+'FY21'!N91*(1+MYP!$G$9)</f>
        <v>0</v>
      </c>
      <c r="O91" s="39">
        <f>+'FY21'!O91*(1+MYP!$G$9)</f>
        <v>0</v>
      </c>
      <c r="P91" s="39">
        <f>+'FY21'!P91*(1+MYP!$G$9)</f>
        <v>0</v>
      </c>
      <c r="Q91" s="100"/>
      <c r="R91" s="41"/>
      <c r="S91" s="59">
        <f t="shared" ref="S91" si="28">SUM(E91:Q91)</f>
        <v>0</v>
      </c>
      <c r="T91" s="41"/>
      <c r="U91" s="39">
        <f>'FY21'!S91</f>
        <v>0</v>
      </c>
      <c r="V91" s="39">
        <f t="shared" ref="V91" si="29">U91-S91</f>
        <v>0</v>
      </c>
      <c r="W91" s="39"/>
    </row>
    <row r="92" spans="3:23" s="37" customFormat="1" ht="12" x14ac:dyDescent="0.2">
      <c r="C92" s="199">
        <v>6569</v>
      </c>
      <c r="D92" s="37" t="s">
        <v>32</v>
      </c>
      <c r="E92" s="39">
        <f>+'FY21'!E92*(1+MYP!$G$9)</f>
        <v>0</v>
      </c>
      <c r="F92" s="39">
        <f>+'FY21'!F92*(1+MYP!$G$9)</f>
        <v>0</v>
      </c>
      <c r="G92" s="39">
        <f>+'FY21'!G92*(1+MYP!$G$9)</f>
        <v>0</v>
      </c>
      <c r="H92" s="39">
        <f>+'FY21'!H92*(1+MYP!$G$9)</f>
        <v>0</v>
      </c>
      <c r="I92" s="39">
        <f>+'FY21'!I92*(1+MYP!$G$9)</f>
        <v>0</v>
      </c>
      <c r="J92" s="39">
        <f>+'FY21'!J92*(1+MYP!$G$9)</f>
        <v>0</v>
      </c>
      <c r="K92" s="39">
        <f>+'FY21'!K92*(1+MYP!$G$9)</f>
        <v>0</v>
      </c>
      <c r="L92" s="39">
        <f>+'FY21'!L92*(1+MYP!$G$9)</f>
        <v>0</v>
      </c>
      <c r="M92" s="39">
        <f>+'FY21'!M92*(1+MYP!$G$9)</f>
        <v>0</v>
      </c>
      <c r="N92" s="39">
        <f>+'FY21'!N92*(1+MYP!$G$9)</f>
        <v>0</v>
      </c>
      <c r="O92" s="39">
        <f>+'FY21'!O92*(1+MYP!$G$9)</f>
        <v>0</v>
      </c>
      <c r="P92" s="39">
        <f>+'FY21'!P92*(1+MYP!$G$9)</f>
        <v>0</v>
      </c>
      <c r="Q92" s="100"/>
      <c r="R92" s="41"/>
      <c r="S92" s="59">
        <f t="shared" si="26"/>
        <v>0</v>
      </c>
      <c r="T92" s="41"/>
      <c r="U92" s="39">
        <f>'FY21'!S92</f>
        <v>0</v>
      </c>
      <c r="V92" s="39">
        <f t="shared" si="27"/>
        <v>0</v>
      </c>
      <c r="W92" s="39"/>
    </row>
    <row r="93" spans="3:23" s="37" customFormat="1" ht="12" x14ac:dyDescent="0.2">
      <c r="C93" s="199">
        <v>6580</v>
      </c>
      <c r="D93" s="37" t="s">
        <v>33</v>
      </c>
      <c r="E93" s="39">
        <f>+'FY21'!E93*(1+MYP!$G$9)</f>
        <v>1224</v>
      </c>
      <c r="F93" s="39">
        <f>+'FY21'!F93*(1+MYP!$G$9)</f>
        <v>2040</v>
      </c>
      <c r="G93" s="39">
        <f>+'FY21'!G93*(1+MYP!$G$9)</f>
        <v>1224</v>
      </c>
      <c r="H93" s="39">
        <f>+'FY21'!H93*(1+MYP!$G$9)</f>
        <v>1224</v>
      </c>
      <c r="I93" s="39">
        <f>+'FY21'!I93*(1+MYP!$G$9)</f>
        <v>5814</v>
      </c>
      <c r="J93" s="39">
        <f>+'FY21'!J93*(1+MYP!$G$9)</f>
        <v>1892.1000000000001</v>
      </c>
      <c r="K93" s="39">
        <f>+'FY21'!K93*(1+MYP!$G$9)</f>
        <v>408</v>
      </c>
      <c r="L93" s="39">
        <f>+'FY21'!L93*(1+MYP!$G$9)</f>
        <v>1224</v>
      </c>
      <c r="M93" s="39">
        <f>+'FY21'!M93*(1+MYP!$G$9)</f>
        <v>2040</v>
      </c>
      <c r="N93" s="39">
        <f>+'FY21'!N93*(1+MYP!$G$9)</f>
        <v>2040</v>
      </c>
      <c r="O93" s="39">
        <f>+'FY21'!O93*(1+MYP!$G$9)</f>
        <v>408</v>
      </c>
      <c r="P93" s="39">
        <f>+'FY21'!P93*(1+MYP!$G$9)</f>
        <v>408</v>
      </c>
      <c r="Q93" s="100"/>
      <c r="R93" s="41"/>
      <c r="S93" s="59">
        <f t="shared" si="26"/>
        <v>19946.099999999999</v>
      </c>
      <c r="T93" s="41"/>
      <c r="U93" s="39">
        <f>'FY21'!S93</f>
        <v>19555</v>
      </c>
      <c r="V93" s="39">
        <f t="shared" si="27"/>
        <v>-391.09999999999854</v>
      </c>
      <c r="W93" s="39"/>
    </row>
    <row r="94" spans="3:23" s="37" customFormat="1" ht="12" x14ac:dyDescent="0.2">
      <c r="C94" s="38"/>
      <c r="E94" s="50">
        <f>SUBTOTAL(9,E82:E93)</f>
        <v>10896.962599999999</v>
      </c>
      <c r="F94" s="50">
        <f t="shared" ref="F94:V94" si="30">SUBTOTAL(9,F82:F93)</f>
        <v>11406.962599999999</v>
      </c>
      <c r="G94" s="50">
        <f t="shared" si="30"/>
        <v>12917.001199999999</v>
      </c>
      <c r="H94" s="50">
        <f t="shared" si="30"/>
        <v>11355.962599999999</v>
      </c>
      <c r="I94" s="50">
        <f t="shared" si="30"/>
        <v>28338.962599999999</v>
      </c>
      <c r="J94" s="50">
        <f t="shared" si="30"/>
        <v>21000.062599999997</v>
      </c>
      <c r="K94" s="50">
        <f t="shared" si="30"/>
        <v>10080.962599999999</v>
      </c>
      <c r="L94" s="50">
        <f t="shared" si="30"/>
        <v>22524.962599999999</v>
      </c>
      <c r="M94" s="50">
        <f t="shared" si="30"/>
        <v>13446.962599999999</v>
      </c>
      <c r="N94" s="50">
        <f t="shared" si="30"/>
        <v>25329.962599999999</v>
      </c>
      <c r="O94" s="50">
        <f t="shared" si="30"/>
        <v>10692.962599999999</v>
      </c>
      <c r="P94" s="50">
        <f t="shared" si="30"/>
        <v>14497.562600000001</v>
      </c>
      <c r="Q94" s="99"/>
      <c r="R94" s="41"/>
      <c r="S94" s="61">
        <f t="shared" si="30"/>
        <v>192489.2898</v>
      </c>
      <c r="T94" s="41"/>
      <c r="U94" s="50">
        <f t="shared" si="30"/>
        <v>188714.99</v>
      </c>
      <c r="V94" s="50">
        <f t="shared" si="30"/>
        <v>-3774.2998000000043</v>
      </c>
      <c r="W94" s="39"/>
    </row>
    <row r="95" spans="3:23" s="37" customFormat="1" ht="12" x14ac:dyDescent="0.2">
      <c r="C95" s="49" t="s">
        <v>102</v>
      </c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100"/>
      <c r="R95" s="41"/>
      <c r="S95" s="59"/>
      <c r="T95" s="41"/>
      <c r="U95" s="39"/>
      <c r="V95" s="39"/>
      <c r="W95" s="39"/>
    </row>
    <row r="96" spans="3:23" s="37" customFormat="1" ht="12" x14ac:dyDescent="0.2">
      <c r="C96" s="199">
        <v>6610</v>
      </c>
      <c r="D96" s="37" t="s">
        <v>34</v>
      </c>
      <c r="E96" s="39">
        <f>+'FY21'!E96*(1+MYP!$G$9)</f>
        <v>969</v>
      </c>
      <c r="F96" s="39">
        <f>+'FY21'!F96*(1+MYP!$G$9)</f>
        <v>1224</v>
      </c>
      <c r="G96" s="39">
        <f>+'FY21'!G96*(1+MYP!$G$9)</f>
        <v>969</v>
      </c>
      <c r="H96" s="39">
        <f>+'FY21'!H96*(1+MYP!$G$9)</f>
        <v>1111.8</v>
      </c>
      <c r="I96" s="39">
        <f>+'FY21'!I96*(1+MYP!$G$9)</f>
        <v>1224</v>
      </c>
      <c r="J96" s="39">
        <f>+'FY21'!J96*(1+MYP!$G$9)</f>
        <v>1111.8</v>
      </c>
      <c r="K96" s="39">
        <f>+'FY21'!K96*(1+MYP!$G$9)</f>
        <v>969</v>
      </c>
      <c r="L96" s="39">
        <f>+'FY21'!L96*(1+MYP!$G$9)</f>
        <v>1224</v>
      </c>
      <c r="M96" s="39">
        <f>+'FY21'!M96*(1+MYP!$G$9)</f>
        <v>969</v>
      </c>
      <c r="N96" s="39">
        <f>+'FY21'!N96*(1+MYP!$G$9)</f>
        <v>969</v>
      </c>
      <c r="O96" s="39">
        <f>+'FY21'!O96*(1+MYP!$G$9)</f>
        <v>1683</v>
      </c>
      <c r="P96" s="39">
        <f>+'FY21'!P96*(1+MYP!$G$9)</f>
        <v>969</v>
      </c>
      <c r="Q96" s="100"/>
      <c r="R96" s="41"/>
      <c r="S96" s="59">
        <f t="shared" ref="S96:S102" si="31">SUM(E96:Q96)</f>
        <v>13392.6</v>
      </c>
      <c r="T96" s="41"/>
      <c r="U96" s="39">
        <f>'FY21'!S96</f>
        <v>13130</v>
      </c>
      <c r="V96" s="39">
        <f t="shared" ref="V96:V102" si="32">U96-S96</f>
        <v>-262.60000000000036</v>
      </c>
      <c r="W96" s="39"/>
    </row>
    <row r="97" spans="3:23" s="37" customFormat="1" ht="12" x14ac:dyDescent="0.2">
      <c r="C97" s="199">
        <v>6612</v>
      </c>
      <c r="D97" s="37" t="s">
        <v>35</v>
      </c>
      <c r="E97" s="39">
        <f>+'FY21'!E97*(1+MYP!$G$9)</f>
        <v>0</v>
      </c>
      <c r="F97" s="39">
        <f>+'FY21'!F97*(1+MYP!$G$9)</f>
        <v>0</v>
      </c>
      <c r="G97" s="39">
        <f>+'FY21'!G97*(1+MYP!$G$9)</f>
        <v>0</v>
      </c>
      <c r="H97" s="39">
        <f>+'FY21'!H97*(1+MYP!$G$9)</f>
        <v>0</v>
      </c>
      <c r="I97" s="39">
        <f>+'FY21'!I97*(1+MYP!$G$9)</f>
        <v>1530</v>
      </c>
      <c r="J97" s="39">
        <f>+'FY21'!J97*(1+MYP!$G$9)</f>
        <v>0</v>
      </c>
      <c r="K97" s="39">
        <f>+'FY21'!K97*(1+MYP!$G$9)</f>
        <v>0</v>
      </c>
      <c r="L97" s="39">
        <f>+'FY21'!L97*(1+MYP!$G$9)</f>
        <v>0</v>
      </c>
      <c r="M97" s="39">
        <f>+'FY21'!M97*(1+MYP!$G$9)</f>
        <v>0</v>
      </c>
      <c r="N97" s="39">
        <f>+'FY21'!N97*(1+MYP!$G$9)</f>
        <v>0</v>
      </c>
      <c r="O97" s="39">
        <f>+'FY21'!O97*(1+MYP!$G$9)</f>
        <v>0</v>
      </c>
      <c r="P97" s="39">
        <f>+'FY21'!P97*(1+MYP!$G$9)</f>
        <v>0</v>
      </c>
      <c r="Q97" s="100"/>
      <c r="R97" s="41"/>
      <c r="S97" s="59">
        <f t="shared" si="31"/>
        <v>1530</v>
      </c>
      <c r="T97" s="41"/>
      <c r="U97" s="39">
        <f>'FY21'!S97</f>
        <v>1500</v>
      </c>
      <c r="V97" s="39">
        <f t="shared" si="32"/>
        <v>-30</v>
      </c>
      <c r="W97" s="39"/>
    </row>
    <row r="98" spans="3:23" s="37" customFormat="1" ht="12" x14ac:dyDescent="0.2">
      <c r="C98" s="199">
        <v>6622</v>
      </c>
      <c r="D98" s="37" t="s">
        <v>36</v>
      </c>
      <c r="E98" s="39">
        <f>+'FY21'!E98*(1+MYP!$G$9)</f>
        <v>0</v>
      </c>
      <c r="F98" s="39">
        <f>+'FY21'!F98*(1+MYP!$G$9)</f>
        <v>0</v>
      </c>
      <c r="G98" s="39">
        <f>+'FY21'!G98*(1+MYP!$G$9)</f>
        <v>0</v>
      </c>
      <c r="H98" s="39">
        <f>+'FY21'!H98*(1+MYP!$G$9)</f>
        <v>0</v>
      </c>
      <c r="I98" s="39">
        <f>+'FY21'!I98*(1+MYP!$G$9)</f>
        <v>0</v>
      </c>
      <c r="J98" s="39">
        <f>+'FY21'!J98*(1+MYP!$G$9)</f>
        <v>0</v>
      </c>
      <c r="K98" s="39">
        <f>+'FY21'!K98*(1+MYP!$G$9)</f>
        <v>0</v>
      </c>
      <c r="L98" s="39">
        <f>+'FY21'!L98*(1+MYP!$G$9)</f>
        <v>0</v>
      </c>
      <c r="M98" s="39">
        <f>+'FY21'!M98*(1+MYP!$G$9)</f>
        <v>0</v>
      </c>
      <c r="N98" s="39">
        <f>+'FY21'!N98*(1+MYP!$G$9)</f>
        <v>0</v>
      </c>
      <c r="O98" s="39">
        <f>+'FY21'!O98*(1+MYP!$G$9)</f>
        <v>0</v>
      </c>
      <c r="P98" s="39">
        <f>+'FY21'!P98*(1+MYP!$G$9)</f>
        <v>0</v>
      </c>
      <c r="Q98" s="100"/>
      <c r="R98" s="41"/>
      <c r="S98" s="59">
        <f t="shared" si="31"/>
        <v>0</v>
      </c>
      <c r="T98" s="41"/>
      <c r="U98" s="39">
        <f>'FY21'!S98</f>
        <v>0</v>
      </c>
      <c r="V98" s="39">
        <f t="shared" si="32"/>
        <v>0</v>
      </c>
      <c r="W98" s="39"/>
    </row>
    <row r="99" spans="3:23" s="37" customFormat="1" ht="12" x14ac:dyDescent="0.2">
      <c r="C99" s="199">
        <v>6641</v>
      </c>
      <c r="D99" s="37" t="s">
        <v>37</v>
      </c>
      <c r="E99" s="39">
        <f>+'FY21'!E99*(1+MYP!$G$9)</f>
        <v>0</v>
      </c>
      <c r="F99" s="39">
        <f>+'FY21'!F99*(1+MYP!$G$9)</f>
        <v>0</v>
      </c>
      <c r="G99" s="39">
        <f>+'FY21'!G99*(1+MYP!$G$9)</f>
        <v>0</v>
      </c>
      <c r="H99" s="39">
        <f>+'FY21'!H99*(1+MYP!$G$9)</f>
        <v>0</v>
      </c>
      <c r="I99" s="39">
        <f>+'FY21'!I99*(1+MYP!$G$9)</f>
        <v>0</v>
      </c>
      <c r="J99" s="39">
        <f>+'FY21'!J99*(1+MYP!$G$9)</f>
        <v>0</v>
      </c>
      <c r="K99" s="39">
        <f>+'FY21'!K99*(1+MYP!$G$9)</f>
        <v>0</v>
      </c>
      <c r="L99" s="39">
        <f>+'FY21'!L99*(1+MYP!$G$9)</f>
        <v>0</v>
      </c>
      <c r="M99" s="39">
        <f>+'FY21'!M99*(1+MYP!$G$9)</f>
        <v>0</v>
      </c>
      <c r="N99" s="39">
        <f>+'FY21'!N99*(1+MYP!$G$9)</f>
        <v>0</v>
      </c>
      <c r="O99" s="39">
        <f>+'FY21'!O99*(1+MYP!$G$9)</f>
        <v>0</v>
      </c>
      <c r="P99" s="39">
        <f>+'FY21'!P99*(1+MYP!$G$9)</f>
        <v>0</v>
      </c>
      <c r="Q99" s="100"/>
      <c r="R99" s="41"/>
      <c r="S99" s="59">
        <f t="shared" si="31"/>
        <v>0</v>
      </c>
      <c r="T99" s="41"/>
      <c r="U99" s="39">
        <f>'FY21'!S99</f>
        <v>0</v>
      </c>
      <c r="V99" s="39">
        <f t="shared" si="32"/>
        <v>0</v>
      </c>
      <c r="W99" s="39"/>
    </row>
    <row r="100" spans="3:23" s="37" customFormat="1" ht="12" x14ac:dyDescent="0.2">
      <c r="C100" s="199">
        <v>6642</v>
      </c>
      <c r="D100" s="37" t="s">
        <v>38</v>
      </c>
      <c r="E100" s="39">
        <f>+'FY21'!E100*(1+MYP!$G$9)</f>
        <v>0</v>
      </c>
      <c r="F100" s="39">
        <f>+'FY21'!F100*(1+MYP!$G$9)</f>
        <v>0</v>
      </c>
      <c r="G100" s="39">
        <f>+'FY21'!G100*(1+MYP!$G$9)</f>
        <v>0</v>
      </c>
      <c r="H100" s="39">
        <f>+'FY21'!H100*(1+MYP!$G$9)</f>
        <v>0</v>
      </c>
      <c r="I100" s="39">
        <f>+'FY21'!I100*(1+MYP!$G$9)</f>
        <v>0</v>
      </c>
      <c r="J100" s="39">
        <f>+'FY21'!J100*(1+MYP!$G$9)</f>
        <v>0</v>
      </c>
      <c r="K100" s="39">
        <f>+'FY21'!K100*(1+MYP!$G$9)</f>
        <v>0</v>
      </c>
      <c r="L100" s="39">
        <f>+'FY21'!L100*(1+MYP!$G$9)</f>
        <v>0</v>
      </c>
      <c r="M100" s="39">
        <f>+'FY21'!M100*(1+MYP!$G$9)</f>
        <v>0</v>
      </c>
      <c r="N100" s="39">
        <f>+'FY21'!N100*(1+MYP!$G$9)</f>
        <v>0</v>
      </c>
      <c r="O100" s="39">
        <f>+'FY21'!O100*(1+MYP!$G$9)</f>
        <v>0</v>
      </c>
      <c r="P100" s="39">
        <f>+'FY21'!P100*(1+MYP!$G$9)</f>
        <v>0</v>
      </c>
      <c r="Q100" s="100"/>
      <c r="R100" s="41"/>
      <c r="S100" s="59">
        <f t="shared" si="31"/>
        <v>0</v>
      </c>
      <c r="T100" s="41"/>
      <c r="U100" s="39">
        <f>'FY21'!S100</f>
        <v>0</v>
      </c>
      <c r="V100" s="39">
        <f t="shared" si="32"/>
        <v>0</v>
      </c>
      <c r="W100" s="39"/>
    </row>
    <row r="101" spans="3:23" s="37" customFormat="1" ht="12" x14ac:dyDescent="0.2">
      <c r="C101" s="199">
        <v>6651</v>
      </c>
      <c r="D101" s="37" t="s">
        <v>39</v>
      </c>
      <c r="E101" s="39">
        <f>+'FY21'!E101*(1+MYP!$G$9)</f>
        <v>351.90000000000003</v>
      </c>
      <c r="F101" s="39">
        <f>+'FY21'!F101*(1+MYP!$G$9)</f>
        <v>7930.5</v>
      </c>
      <c r="G101" s="39">
        <f>+'FY21'!G101*(1+MYP!$G$9)</f>
        <v>3701.58</v>
      </c>
      <c r="H101" s="39">
        <f>+'FY21'!H101*(1+MYP!$G$9)</f>
        <v>351.90000000000003</v>
      </c>
      <c r="I101" s="39">
        <f>+'FY21'!I101*(1+MYP!$G$9)</f>
        <v>3743.4</v>
      </c>
      <c r="J101" s="39">
        <f>+'FY21'!J101*(1+MYP!$G$9)</f>
        <v>351.90000000000003</v>
      </c>
      <c r="K101" s="39">
        <f>+'FY21'!K101*(1+MYP!$G$9)</f>
        <v>22914.3</v>
      </c>
      <c r="L101" s="39">
        <f>+'FY21'!L101*(1+MYP!$G$9)</f>
        <v>814.98</v>
      </c>
      <c r="M101" s="39">
        <f>+'FY21'!M101*(1+MYP!$G$9)</f>
        <v>351.90000000000003</v>
      </c>
      <c r="N101" s="39">
        <f>+'FY21'!N101*(1+MYP!$G$9)</f>
        <v>351.90000000000003</v>
      </c>
      <c r="O101" s="39">
        <f>+'FY21'!O101*(1+MYP!$G$9)</f>
        <v>351.90000000000003</v>
      </c>
      <c r="P101" s="39">
        <f>+'FY21'!P101*(1+MYP!$G$9)</f>
        <v>4788.8999999999996</v>
      </c>
      <c r="Q101" s="100"/>
      <c r="R101" s="41"/>
      <c r="S101" s="59">
        <f t="shared" si="31"/>
        <v>46005.060000000005</v>
      </c>
      <c r="T101" s="41"/>
      <c r="U101" s="39">
        <f>'FY21'!S101</f>
        <v>45103</v>
      </c>
      <c r="V101" s="39">
        <f t="shared" si="32"/>
        <v>-902.06000000000495</v>
      </c>
      <c r="W101" s="39"/>
    </row>
    <row r="102" spans="3:23" s="37" customFormat="1" ht="12" x14ac:dyDescent="0.2">
      <c r="C102" s="199">
        <v>6652</v>
      </c>
      <c r="D102" s="37" t="s">
        <v>40</v>
      </c>
      <c r="E102" s="39">
        <f>+'FY21'!E102*(1+MYP!$G$9)</f>
        <v>0</v>
      </c>
      <c r="F102" s="39">
        <f>+'FY21'!F102*(1+MYP!$G$9)</f>
        <v>0</v>
      </c>
      <c r="G102" s="39">
        <f>+'FY21'!G102*(1+MYP!$G$9)</f>
        <v>0</v>
      </c>
      <c r="H102" s="39">
        <f>+'FY21'!H102*(1+MYP!$G$9)</f>
        <v>0</v>
      </c>
      <c r="I102" s="39">
        <f>+'FY21'!I102*(1+MYP!$G$9)</f>
        <v>0</v>
      </c>
      <c r="J102" s="39">
        <f>+'FY21'!J102*(1+MYP!$G$9)</f>
        <v>0</v>
      </c>
      <c r="K102" s="39">
        <f>+'FY21'!K102*(1+MYP!$G$9)</f>
        <v>0</v>
      </c>
      <c r="L102" s="39">
        <f>+'FY21'!L102*(1+MYP!$G$9)</f>
        <v>0</v>
      </c>
      <c r="M102" s="39">
        <f>+'FY21'!M102*(1+MYP!$G$9)</f>
        <v>0</v>
      </c>
      <c r="N102" s="39">
        <f>+'FY21'!N102*(1+MYP!$G$9)</f>
        <v>0</v>
      </c>
      <c r="O102" s="39">
        <f>+'FY21'!O102*(1+MYP!$G$9)</f>
        <v>0</v>
      </c>
      <c r="P102" s="39">
        <f>+'FY21'!P102*(1+MYP!$G$9)</f>
        <v>0</v>
      </c>
      <c r="Q102" s="100"/>
      <c r="R102" s="41"/>
      <c r="S102" s="59">
        <f t="shared" si="31"/>
        <v>0</v>
      </c>
      <c r="T102" s="41"/>
      <c r="U102" s="39">
        <f>'FY21'!S102</f>
        <v>0</v>
      </c>
      <c r="V102" s="39">
        <f t="shared" si="32"/>
        <v>0</v>
      </c>
      <c r="W102" s="39"/>
    </row>
    <row r="103" spans="3:23" s="37" customFormat="1" ht="12" x14ac:dyDescent="0.2">
      <c r="C103" s="38"/>
      <c r="E103" s="50">
        <f>SUBTOTAL(9,E96:E102)</f>
        <v>1320.9</v>
      </c>
      <c r="F103" s="50">
        <f t="shared" ref="F103:V103" si="33">SUBTOTAL(9,F96:F102)</f>
        <v>9154.5</v>
      </c>
      <c r="G103" s="50">
        <f t="shared" si="33"/>
        <v>4670.58</v>
      </c>
      <c r="H103" s="50">
        <f t="shared" si="33"/>
        <v>1463.7</v>
      </c>
      <c r="I103" s="50">
        <f t="shared" si="33"/>
        <v>6497.4</v>
      </c>
      <c r="J103" s="50">
        <f t="shared" si="33"/>
        <v>1463.7</v>
      </c>
      <c r="K103" s="50">
        <f t="shared" si="33"/>
        <v>23883.3</v>
      </c>
      <c r="L103" s="50">
        <f t="shared" si="33"/>
        <v>2038.98</v>
      </c>
      <c r="M103" s="50">
        <f t="shared" si="33"/>
        <v>1320.9</v>
      </c>
      <c r="N103" s="50">
        <f t="shared" si="33"/>
        <v>1320.9</v>
      </c>
      <c r="O103" s="50">
        <f t="shared" si="33"/>
        <v>2034.9</v>
      </c>
      <c r="P103" s="50">
        <f t="shared" si="33"/>
        <v>5757.9</v>
      </c>
      <c r="Q103" s="99"/>
      <c r="R103" s="41"/>
      <c r="S103" s="61">
        <f t="shared" si="33"/>
        <v>60927.66</v>
      </c>
      <c r="T103" s="41"/>
      <c r="U103" s="50">
        <f t="shared" si="33"/>
        <v>59733</v>
      </c>
      <c r="V103" s="50">
        <f t="shared" si="33"/>
        <v>-1194.6600000000053</v>
      </c>
      <c r="W103" s="39"/>
    </row>
    <row r="104" spans="3:23" s="37" customFormat="1" ht="12" x14ac:dyDescent="0.2">
      <c r="C104" s="49" t="s">
        <v>103</v>
      </c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100"/>
      <c r="R104" s="41"/>
      <c r="S104" s="59"/>
      <c r="T104" s="41"/>
      <c r="U104" s="39"/>
      <c r="V104" s="39"/>
      <c r="W104" s="39"/>
    </row>
    <row r="105" spans="3:23" s="37" customFormat="1" ht="12" x14ac:dyDescent="0.2">
      <c r="C105" s="199">
        <v>6734</v>
      </c>
      <c r="D105" s="37" t="s">
        <v>41</v>
      </c>
      <c r="E105" s="39">
        <f>+'FY21'!E105*(1+MYP!$G$9)</f>
        <v>0</v>
      </c>
      <c r="F105" s="39">
        <f>+'FY21'!F105*(1+MYP!$G$9)</f>
        <v>0</v>
      </c>
      <c r="G105" s="39">
        <f>+'FY21'!G105*(1+MYP!$G$9)</f>
        <v>0</v>
      </c>
      <c r="H105" s="39">
        <f>+'FY21'!H105*(1+MYP!$G$9)</f>
        <v>0</v>
      </c>
      <c r="I105" s="39">
        <f>+'FY21'!I105*(1+MYP!$G$9)</f>
        <v>0</v>
      </c>
      <c r="J105" s="39">
        <f>+'FY21'!J105*(1+MYP!$G$9)</f>
        <v>0</v>
      </c>
      <c r="K105" s="39">
        <f>+'FY21'!K105*(1+MYP!$G$9)</f>
        <v>0</v>
      </c>
      <c r="L105" s="39">
        <f>+'FY21'!L105*(1+MYP!$G$9)</f>
        <v>0</v>
      </c>
      <c r="M105" s="39">
        <f>+'FY21'!M105*(1+MYP!$G$9)</f>
        <v>0</v>
      </c>
      <c r="N105" s="39">
        <f>+'FY21'!N105*(1+MYP!$G$9)</f>
        <v>0</v>
      </c>
      <c r="O105" s="39">
        <f>+'FY21'!O105*(1+MYP!$G$9)</f>
        <v>0</v>
      </c>
      <c r="P105" s="39">
        <f>+'FY21'!P105*(1+MYP!$G$9)</f>
        <v>0</v>
      </c>
      <c r="Q105" s="100"/>
      <c r="R105" s="41"/>
      <c r="S105" s="59">
        <f t="shared" ref="S105" si="34">SUM(E105:Q105)</f>
        <v>0</v>
      </c>
      <c r="T105" s="41"/>
      <c r="U105" s="39">
        <f>'FY21'!S105</f>
        <v>0</v>
      </c>
      <c r="V105" s="39">
        <f t="shared" ref="V105" si="35">U105-S105</f>
        <v>0</v>
      </c>
      <c r="W105" s="39"/>
    </row>
    <row r="106" spans="3:23" s="37" customFormat="1" ht="12" x14ac:dyDescent="0.2">
      <c r="C106" s="38"/>
      <c r="E106" s="50">
        <f>SUBTOTAL(9,E105)</f>
        <v>0</v>
      </c>
      <c r="F106" s="50">
        <f t="shared" ref="F106:V106" si="36">SUBTOTAL(9,F105)</f>
        <v>0</v>
      </c>
      <c r="G106" s="50">
        <f t="shared" si="36"/>
        <v>0</v>
      </c>
      <c r="H106" s="50">
        <f t="shared" si="36"/>
        <v>0</v>
      </c>
      <c r="I106" s="50">
        <f t="shared" si="36"/>
        <v>0</v>
      </c>
      <c r="J106" s="50">
        <f t="shared" si="36"/>
        <v>0</v>
      </c>
      <c r="K106" s="50">
        <f t="shared" si="36"/>
        <v>0</v>
      </c>
      <c r="L106" s="50">
        <f t="shared" si="36"/>
        <v>0</v>
      </c>
      <c r="M106" s="50">
        <f t="shared" si="36"/>
        <v>0</v>
      </c>
      <c r="N106" s="50">
        <f t="shared" si="36"/>
        <v>0</v>
      </c>
      <c r="O106" s="50">
        <f t="shared" si="36"/>
        <v>0</v>
      </c>
      <c r="P106" s="50">
        <f t="shared" si="36"/>
        <v>0</v>
      </c>
      <c r="Q106" s="99"/>
      <c r="R106" s="41"/>
      <c r="S106" s="61">
        <f t="shared" si="36"/>
        <v>0</v>
      </c>
      <c r="T106" s="41"/>
      <c r="U106" s="50">
        <f t="shared" si="36"/>
        <v>0</v>
      </c>
      <c r="V106" s="50">
        <f t="shared" si="36"/>
        <v>0</v>
      </c>
      <c r="W106" s="39"/>
    </row>
    <row r="107" spans="3:23" s="37" customFormat="1" ht="12" x14ac:dyDescent="0.2">
      <c r="C107" s="49" t="s">
        <v>104</v>
      </c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100"/>
      <c r="R107" s="41"/>
      <c r="S107" s="59"/>
      <c r="T107" s="41"/>
      <c r="U107" s="39"/>
      <c r="V107" s="39"/>
      <c r="W107" s="39"/>
    </row>
    <row r="108" spans="3:23" s="37" customFormat="1" ht="12" x14ac:dyDescent="0.2">
      <c r="C108" s="199">
        <v>6810</v>
      </c>
      <c r="D108" s="37" t="s">
        <v>42</v>
      </c>
      <c r="E108" s="39">
        <f>+'FY21'!E108*(1+MYP!$G$9)</f>
        <v>972.06000000000006</v>
      </c>
      <c r="F108" s="39">
        <f>+'FY21'!F108*(1+MYP!$G$9)</f>
        <v>2799.9</v>
      </c>
      <c r="G108" s="39">
        <f>+'FY21'!G108*(1+MYP!$G$9)</f>
        <v>8868.9</v>
      </c>
      <c r="H108" s="39">
        <f>+'FY21'!H108*(1+MYP!$G$9)</f>
        <v>300.89999999999998</v>
      </c>
      <c r="I108" s="39">
        <f>+'FY21'!I108*(1+MYP!$G$9)</f>
        <v>555.9</v>
      </c>
      <c r="J108" s="39">
        <f>+'FY21'!J108*(1+MYP!$G$9)</f>
        <v>1570.8</v>
      </c>
      <c r="K108" s="39">
        <f>+'FY21'!K108*(1+MYP!$G$9)</f>
        <v>300.89999999999998</v>
      </c>
      <c r="L108" s="39">
        <f>+'FY21'!L108*(1+MYP!$G$9)</f>
        <v>555.9</v>
      </c>
      <c r="M108" s="39">
        <f>+'FY21'!M108*(1+MYP!$G$9)</f>
        <v>300.89999999999998</v>
      </c>
      <c r="N108" s="39">
        <f>+'FY21'!N108*(1+MYP!$G$9)</f>
        <v>300.89999999999998</v>
      </c>
      <c r="O108" s="39">
        <f>+'FY21'!O108*(1+MYP!$G$9)</f>
        <v>555.9</v>
      </c>
      <c r="P108" s="39">
        <f>+'FY21'!P108*(1+MYP!$G$9)</f>
        <v>300.89999999999998</v>
      </c>
      <c r="Q108" s="100"/>
      <c r="R108" s="41"/>
      <c r="S108" s="59">
        <f t="shared" ref="S108" si="37">SUM(E108:Q108)</f>
        <v>17383.86</v>
      </c>
      <c r="T108" s="41"/>
      <c r="U108" s="39">
        <f>'FY21'!S108</f>
        <v>17043</v>
      </c>
      <c r="V108" s="39">
        <f t="shared" ref="V108" si="38">U108-S108</f>
        <v>-340.86000000000058</v>
      </c>
      <c r="W108" s="39"/>
    </row>
    <row r="109" spans="3:23" s="37" customFormat="1" ht="12" x14ac:dyDescent="0.2">
      <c r="C109" s="38"/>
      <c r="E109" s="50">
        <f>SUBTOTAL(9,E108)</f>
        <v>972.06000000000006</v>
      </c>
      <c r="F109" s="50">
        <f t="shared" ref="F109:P109" si="39">SUBTOTAL(9,F108)</f>
        <v>2799.9</v>
      </c>
      <c r="G109" s="50">
        <f t="shared" si="39"/>
        <v>8868.9</v>
      </c>
      <c r="H109" s="50">
        <f t="shared" si="39"/>
        <v>300.89999999999998</v>
      </c>
      <c r="I109" s="50">
        <f t="shared" si="39"/>
        <v>555.9</v>
      </c>
      <c r="J109" s="50">
        <f t="shared" si="39"/>
        <v>1570.8</v>
      </c>
      <c r="K109" s="50">
        <f t="shared" si="39"/>
        <v>300.89999999999998</v>
      </c>
      <c r="L109" s="50">
        <f t="shared" si="39"/>
        <v>555.9</v>
      </c>
      <c r="M109" s="50">
        <f t="shared" si="39"/>
        <v>300.89999999999998</v>
      </c>
      <c r="N109" s="50">
        <f t="shared" si="39"/>
        <v>300.89999999999998</v>
      </c>
      <c r="O109" s="50">
        <f t="shared" si="39"/>
        <v>555.9</v>
      </c>
      <c r="P109" s="50">
        <f t="shared" si="39"/>
        <v>300.89999999999998</v>
      </c>
      <c r="Q109" s="99"/>
      <c r="R109" s="41"/>
      <c r="S109" s="61">
        <f t="shared" ref="S109" si="40">SUBTOTAL(9,S108)</f>
        <v>17383.86</v>
      </c>
      <c r="T109" s="41"/>
      <c r="U109" s="50">
        <f t="shared" ref="U109:V109" si="41">SUBTOTAL(9,U108)</f>
        <v>17043</v>
      </c>
      <c r="V109" s="50">
        <f t="shared" si="41"/>
        <v>-340.86000000000058</v>
      </c>
      <c r="W109" s="39"/>
    </row>
    <row r="110" spans="3:23" s="45" customFormat="1" ht="12" x14ac:dyDescent="0.2">
      <c r="C110" s="49" t="s">
        <v>43</v>
      </c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101"/>
      <c r="R110" s="48"/>
      <c r="S110" s="62"/>
      <c r="T110" s="48"/>
      <c r="U110" s="48"/>
      <c r="V110" s="48"/>
      <c r="W110" s="40"/>
    </row>
    <row r="111" spans="3:23" s="37" customFormat="1" ht="12" x14ac:dyDescent="0.2">
      <c r="C111" s="199">
        <v>7306</v>
      </c>
      <c r="D111" s="37" t="s">
        <v>43</v>
      </c>
      <c r="E111" s="39">
        <f>+'FY21'!E111*(1+MYP!$G$9)</f>
        <v>0</v>
      </c>
      <c r="F111" s="39">
        <f>+'FY21'!F111*(1+MYP!$G$9)</f>
        <v>0</v>
      </c>
      <c r="G111" s="39">
        <f>+'FY21'!G111*(1+MYP!$G$9)</f>
        <v>0</v>
      </c>
      <c r="H111" s="39">
        <f>+'FY21'!H111*(1+MYP!$G$9)</f>
        <v>0</v>
      </c>
      <c r="I111" s="39">
        <f>+'FY21'!I111*(1+MYP!$G$9)</f>
        <v>0</v>
      </c>
      <c r="J111" s="39">
        <f>+'FY21'!J111*(1+MYP!$G$9)</f>
        <v>0</v>
      </c>
      <c r="K111" s="39">
        <f>+'FY21'!K111*(1+MYP!$G$9)</f>
        <v>0</v>
      </c>
      <c r="L111" s="39">
        <f>+'FY21'!L111*(1+MYP!$G$9)</f>
        <v>0</v>
      </c>
      <c r="M111" s="39">
        <f>+'FY21'!M111*(1+MYP!$G$9)</f>
        <v>0</v>
      </c>
      <c r="N111" s="39">
        <f>+'FY21'!N111*(1+MYP!$G$9)</f>
        <v>0</v>
      </c>
      <c r="O111" s="39">
        <f>+'FY21'!O111*(1+MYP!$G$9)</f>
        <v>0</v>
      </c>
      <c r="P111" s="39">
        <f>+'FY21'!P111*(1+MYP!$G$9)</f>
        <v>0</v>
      </c>
      <c r="Q111" s="101"/>
      <c r="R111" s="41"/>
      <c r="S111" s="62">
        <f t="shared" ref="S111:S112" si="42">SUM(E111:Q111)</f>
        <v>0</v>
      </c>
      <c r="T111" s="41"/>
      <c r="U111" s="41">
        <f>'FY21'!S111</f>
        <v>0</v>
      </c>
      <c r="V111" s="41">
        <f t="shared" ref="V111" si="43">U111-S111</f>
        <v>0</v>
      </c>
      <c r="W111" s="39"/>
    </row>
    <row r="112" spans="3:23" s="37" customFormat="1" ht="12" x14ac:dyDescent="0.2">
      <c r="C112" s="38">
        <v>7901</v>
      </c>
      <c r="D112" s="37" t="s">
        <v>177</v>
      </c>
      <c r="E112" s="39">
        <f>+'FY21'!E112*(1+MYP!$G$9)</f>
        <v>0</v>
      </c>
      <c r="F112" s="39">
        <f>+'FY21'!F112*(1+MYP!$G$9)</f>
        <v>0</v>
      </c>
      <c r="G112" s="39">
        <f>+'FY21'!G112*(1+MYP!$G$9)</f>
        <v>0</v>
      </c>
      <c r="H112" s="39">
        <f>+'FY21'!H112*(1+MYP!$G$9)</f>
        <v>0</v>
      </c>
      <c r="I112" s="39">
        <f>+'FY21'!I112*(1+MYP!$G$9)</f>
        <v>0</v>
      </c>
      <c r="J112" s="39">
        <f>+'FY21'!J112*(1+MYP!$G$9)</f>
        <v>0</v>
      </c>
      <c r="K112" s="39">
        <f>+'FY21'!K112*(1+MYP!$G$9)</f>
        <v>0</v>
      </c>
      <c r="L112" s="39">
        <f>+'FY21'!L112*(1+MYP!$G$9)</f>
        <v>0</v>
      </c>
      <c r="M112" s="39">
        <f>+'FY21'!M112*(1+MYP!$G$9)</f>
        <v>0</v>
      </c>
      <c r="N112" s="39">
        <f>+'FY21'!N112*(1+MYP!$G$9)</f>
        <v>0</v>
      </c>
      <c r="O112" s="39">
        <f>+'FY21'!O112*(1+MYP!$G$9)</f>
        <v>0</v>
      </c>
      <c r="P112" s="39">
        <f>+'FY21'!P112*(1+MYP!$G$9)</f>
        <v>0</v>
      </c>
      <c r="Q112" s="101"/>
      <c r="R112" s="41"/>
      <c r="S112" s="62">
        <f t="shared" si="42"/>
        <v>0</v>
      </c>
      <c r="T112" s="41"/>
      <c r="U112" s="41">
        <f>'FY21'!S112</f>
        <v>0</v>
      </c>
      <c r="V112" s="41">
        <f t="shared" ref="V112" si="44">U112-S112</f>
        <v>0</v>
      </c>
      <c r="W112" s="39"/>
    </row>
    <row r="113" spans="1:23" s="37" customFormat="1" ht="12" x14ac:dyDescent="0.2">
      <c r="C113" s="38"/>
      <c r="E113" s="50">
        <f>SUBTOTAL(9,E111:E112)</f>
        <v>0</v>
      </c>
      <c r="F113" s="50">
        <f t="shared" ref="F113:P113" si="45">SUBTOTAL(9,F111:F112)</f>
        <v>0</v>
      </c>
      <c r="G113" s="50">
        <f t="shared" si="45"/>
        <v>0</v>
      </c>
      <c r="H113" s="50">
        <f t="shared" si="45"/>
        <v>0</v>
      </c>
      <c r="I113" s="50">
        <f t="shared" si="45"/>
        <v>0</v>
      </c>
      <c r="J113" s="50">
        <f t="shared" si="45"/>
        <v>0</v>
      </c>
      <c r="K113" s="50">
        <f t="shared" si="45"/>
        <v>0</v>
      </c>
      <c r="L113" s="50">
        <f t="shared" si="45"/>
        <v>0</v>
      </c>
      <c r="M113" s="50">
        <f t="shared" si="45"/>
        <v>0</v>
      </c>
      <c r="N113" s="50">
        <f t="shared" si="45"/>
        <v>0</v>
      </c>
      <c r="O113" s="50">
        <f t="shared" si="45"/>
        <v>0</v>
      </c>
      <c r="P113" s="50">
        <f t="shared" si="45"/>
        <v>0</v>
      </c>
      <c r="Q113" s="99"/>
      <c r="R113" s="41"/>
      <c r="S113" s="61">
        <f>SUBTOTAL(9,S111:S112)</f>
        <v>0</v>
      </c>
      <c r="T113" s="41"/>
      <c r="U113" s="50">
        <f>SUBTOTAL(9,U111:U112)</f>
        <v>0</v>
      </c>
      <c r="V113" s="50">
        <f>SUBTOTAL(9,V111:V112)</f>
        <v>0</v>
      </c>
      <c r="W113" s="39"/>
    </row>
    <row r="114" spans="1:23" s="37" customFormat="1" ht="9" customHeight="1" x14ac:dyDescent="0.2">
      <c r="C114" s="38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100"/>
      <c r="R114" s="41"/>
      <c r="S114" s="59"/>
      <c r="T114" s="41"/>
      <c r="U114" s="39"/>
      <c r="V114" s="39"/>
      <c r="W114" s="39"/>
    </row>
    <row r="115" spans="1:23" s="45" customFormat="1" ht="12" x14ac:dyDescent="0.2">
      <c r="A115" s="45" t="s">
        <v>107</v>
      </c>
      <c r="C115" s="46"/>
      <c r="E115" s="43">
        <f t="shared" ref="E115:P115" si="46">SUBTOTAL(9,E30:E114)</f>
        <v>153628.14443934249</v>
      </c>
      <c r="F115" s="43">
        <f t="shared" si="46"/>
        <v>208094.62463934245</v>
      </c>
      <c r="G115" s="43">
        <f t="shared" si="46"/>
        <v>202105.14077934244</v>
      </c>
      <c r="H115" s="43">
        <f t="shared" si="46"/>
        <v>229712.87897934244</v>
      </c>
      <c r="I115" s="43">
        <f t="shared" si="46"/>
        <v>190441.30307934247</v>
      </c>
      <c r="J115" s="43">
        <f t="shared" si="46"/>
        <v>171931.38857934249</v>
      </c>
      <c r="K115" s="43">
        <f t="shared" si="46"/>
        <v>209007.52157934246</v>
      </c>
      <c r="L115" s="43">
        <f t="shared" si="46"/>
        <v>186540.7822793425</v>
      </c>
      <c r="M115" s="43">
        <f t="shared" si="46"/>
        <v>165175.60217934247</v>
      </c>
      <c r="N115" s="43">
        <f t="shared" si="46"/>
        <v>205516.24517934243</v>
      </c>
      <c r="O115" s="43">
        <f t="shared" si="46"/>
        <v>164572.48433934242</v>
      </c>
      <c r="P115" s="43">
        <f t="shared" si="46"/>
        <v>208144.33943934247</v>
      </c>
      <c r="Q115" s="47"/>
      <c r="R115" s="48"/>
      <c r="S115" s="60">
        <f>SUBTOTAL(9,S30:S114)</f>
        <v>2294870.4554921105</v>
      </c>
      <c r="T115" s="48"/>
      <c r="U115" s="43">
        <f>SUBTOTAL(9,U30:U114)</f>
        <v>2176672.9955805</v>
      </c>
      <c r="V115" s="43">
        <f>SUBTOTAL(9,V30:V114)</f>
        <v>-118197.45991161022</v>
      </c>
      <c r="W115" s="40"/>
    </row>
    <row r="116" spans="1:23" s="37" customFormat="1" ht="12" x14ac:dyDescent="0.2">
      <c r="C116" s="38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44"/>
      <c r="R116" s="41"/>
      <c r="S116" s="59"/>
      <c r="T116" s="41"/>
      <c r="U116" s="39"/>
      <c r="V116" s="39"/>
      <c r="W116" s="39"/>
    </row>
    <row r="117" spans="1:23" s="45" customFormat="1" ht="12.75" thickBot="1" x14ac:dyDescent="0.25">
      <c r="A117" s="45" t="s">
        <v>108</v>
      </c>
      <c r="C117" s="46"/>
      <c r="E117" s="181">
        <f t="shared" ref="E117:P117" si="47">E27-E115</f>
        <v>9252.0555606574926</v>
      </c>
      <c r="F117" s="181">
        <f t="shared" si="47"/>
        <v>-45214.424639342469</v>
      </c>
      <c r="G117" s="181">
        <f t="shared" si="47"/>
        <v>-39224.940779342462</v>
      </c>
      <c r="H117" s="181">
        <f t="shared" si="47"/>
        <v>30426.72102065754</v>
      </c>
      <c r="I117" s="181">
        <f t="shared" si="47"/>
        <v>-27561.103079342487</v>
      </c>
      <c r="J117" s="181">
        <f t="shared" si="47"/>
        <v>-513.46462934251758</v>
      </c>
      <c r="K117" s="181">
        <f t="shared" si="47"/>
        <v>60052.948420657514</v>
      </c>
      <c r="L117" s="181">
        <f t="shared" si="47"/>
        <v>-23660.582279342518</v>
      </c>
      <c r="M117" s="181">
        <f t="shared" si="47"/>
        <v>-2295.4021793424909</v>
      </c>
      <c r="N117" s="181">
        <f t="shared" si="47"/>
        <v>54623.354820657551</v>
      </c>
      <c r="O117" s="181">
        <f t="shared" si="47"/>
        <v>7930.4396106575441</v>
      </c>
      <c r="P117" s="181">
        <f t="shared" si="47"/>
        <v>63139.832852657506</v>
      </c>
      <c r="Q117" s="190"/>
      <c r="R117" s="191"/>
      <c r="S117" s="192">
        <f>S27-S115</f>
        <v>86955.434699889738</v>
      </c>
      <c r="T117" s="191"/>
      <c r="U117" s="181">
        <f>U27-U115</f>
        <v>18558.239619500004</v>
      </c>
      <c r="V117" s="181">
        <f>V27+V115</f>
        <v>68397.195080390011</v>
      </c>
      <c r="W117" s="40"/>
    </row>
    <row r="118" spans="1:23" s="37" customFormat="1" ht="12.75" thickTop="1" x14ac:dyDescent="0.2">
      <c r="C118" s="38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44"/>
      <c r="R118" s="41"/>
      <c r="S118" s="59"/>
      <c r="T118" s="41"/>
      <c r="U118" s="39"/>
      <c r="V118" s="39"/>
      <c r="W118" s="39"/>
    </row>
    <row r="119" spans="1:23" s="37" customFormat="1" ht="12" x14ac:dyDescent="0.2">
      <c r="A119" s="53" t="s">
        <v>109</v>
      </c>
      <c r="B119" s="54"/>
      <c r="C119" s="54"/>
      <c r="D119" s="54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44"/>
      <c r="R119" s="41"/>
      <c r="S119" s="59"/>
      <c r="T119" s="41"/>
      <c r="U119" s="39"/>
      <c r="V119" s="39"/>
      <c r="W119" s="39"/>
    </row>
    <row r="120" spans="1:23" s="37" customFormat="1" ht="12" x14ac:dyDescent="0.2">
      <c r="A120" s="53"/>
      <c r="B120" s="53"/>
      <c r="C120" s="54" t="s">
        <v>110</v>
      </c>
      <c r="D120" s="54"/>
      <c r="E120" s="39">
        <f>E117</f>
        <v>9252.0555606574926</v>
      </c>
      <c r="F120" s="39">
        <f t="shared" ref="F120:P120" si="48">F117</f>
        <v>-45214.424639342469</v>
      </c>
      <c r="G120" s="39">
        <f t="shared" si="48"/>
        <v>-39224.940779342462</v>
      </c>
      <c r="H120" s="39">
        <f t="shared" si="48"/>
        <v>30426.72102065754</v>
      </c>
      <c r="I120" s="39">
        <f t="shared" si="48"/>
        <v>-27561.103079342487</v>
      </c>
      <c r="J120" s="39">
        <f t="shared" si="48"/>
        <v>-513.46462934251758</v>
      </c>
      <c r="K120" s="39">
        <f t="shared" si="48"/>
        <v>60052.948420657514</v>
      </c>
      <c r="L120" s="39">
        <f t="shared" si="48"/>
        <v>-23660.582279342518</v>
      </c>
      <c r="M120" s="39">
        <f t="shared" si="48"/>
        <v>-2295.4021793424909</v>
      </c>
      <c r="N120" s="39">
        <f t="shared" si="48"/>
        <v>54623.354820657551</v>
      </c>
      <c r="O120" s="39">
        <f t="shared" si="48"/>
        <v>7930.4396106575441</v>
      </c>
      <c r="P120" s="39">
        <f t="shared" si="48"/>
        <v>63139.832852657506</v>
      </c>
      <c r="Q120" s="44"/>
      <c r="R120" s="41"/>
      <c r="S120" s="59">
        <f t="shared" ref="S120:S136" si="49">SUM(E120:Q120)</f>
        <v>86955.434699890204</v>
      </c>
      <c r="T120" s="41"/>
      <c r="U120" s="39"/>
      <c r="V120" s="39"/>
      <c r="W120" s="39"/>
    </row>
    <row r="121" spans="1:23" s="37" customFormat="1" ht="12" x14ac:dyDescent="0.2">
      <c r="A121" s="54"/>
      <c r="B121" s="54" t="s">
        <v>111</v>
      </c>
      <c r="C121" s="54" t="s">
        <v>112</v>
      </c>
      <c r="D121" s="54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44"/>
      <c r="R121" s="41"/>
      <c r="S121" s="59"/>
      <c r="T121" s="41"/>
      <c r="U121" s="39"/>
      <c r="V121" s="39"/>
      <c r="W121" s="39"/>
    </row>
    <row r="122" spans="1:23" s="37" customFormat="1" ht="12" x14ac:dyDescent="0.2">
      <c r="A122" s="54"/>
      <c r="B122" s="54" t="s">
        <v>111</v>
      </c>
      <c r="C122" s="54"/>
      <c r="D122" s="55" t="s">
        <v>113</v>
      </c>
      <c r="E122" s="39">
        <f>E112</f>
        <v>0</v>
      </c>
      <c r="F122" s="39">
        <f t="shared" ref="F122:P122" si="50">F112</f>
        <v>0</v>
      </c>
      <c r="G122" s="39">
        <f t="shared" si="50"/>
        <v>0</v>
      </c>
      <c r="H122" s="39">
        <f t="shared" si="50"/>
        <v>0</v>
      </c>
      <c r="I122" s="39">
        <f t="shared" si="50"/>
        <v>0</v>
      </c>
      <c r="J122" s="39">
        <f t="shared" si="50"/>
        <v>0</v>
      </c>
      <c r="K122" s="39">
        <f t="shared" si="50"/>
        <v>0</v>
      </c>
      <c r="L122" s="39">
        <f t="shared" si="50"/>
        <v>0</v>
      </c>
      <c r="M122" s="39">
        <f t="shared" si="50"/>
        <v>0</v>
      </c>
      <c r="N122" s="39">
        <f t="shared" si="50"/>
        <v>0</v>
      </c>
      <c r="O122" s="39">
        <f t="shared" si="50"/>
        <v>0</v>
      </c>
      <c r="P122" s="39">
        <f t="shared" si="50"/>
        <v>0</v>
      </c>
      <c r="Q122" s="44"/>
      <c r="R122" s="41"/>
      <c r="S122" s="59">
        <f t="shared" si="49"/>
        <v>0</v>
      </c>
      <c r="T122" s="41"/>
      <c r="U122" s="39"/>
      <c r="V122" s="39"/>
      <c r="W122" s="39"/>
    </row>
    <row r="123" spans="1:23" s="37" customFormat="1" ht="12" x14ac:dyDescent="0.2">
      <c r="A123" s="54"/>
      <c r="B123" s="54" t="s">
        <v>111</v>
      </c>
      <c r="C123" s="54"/>
      <c r="D123" s="55" t="s">
        <v>114</v>
      </c>
      <c r="E123" s="39">
        <f>-'FY21'!Q123</f>
        <v>0</v>
      </c>
      <c r="F123" s="39">
        <v>0</v>
      </c>
      <c r="G123" s="39">
        <v>0</v>
      </c>
      <c r="H123" s="39">
        <v>0</v>
      </c>
      <c r="I123" s="39">
        <v>0</v>
      </c>
      <c r="J123" s="39">
        <v>0</v>
      </c>
      <c r="K123" s="39">
        <v>0</v>
      </c>
      <c r="L123" s="39">
        <v>0</v>
      </c>
      <c r="M123" s="39">
        <v>0</v>
      </c>
      <c r="N123" s="39">
        <v>0</v>
      </c>
      <c r="O123" s="39">
        <v>0</v>
      </c>
      <c r="P123" s="39">
        <v>0</v>
      </c>
      <c r="Q123" s="44"/>
      <c r="R123" s="41"/>
      <c r="S123" s="59">
        <f t="shared" si="49"/>
        <v>0</v>
      </c>
      <c r="T123" s="41"/>
      <c r="U123" s="39"/>
      <c r="V123" s="39"/>
      <c r="W123" s="39"/>
    </row>
    <row r="124" spans="1:23" s="37" customFormat="1" ht="12" x14ac:dyDescent="0.2">
      <c r="A124" s="54"/>
      <c r="B124" s="54" t="s">
        <v>111</v>
      </c>
      <c r="C124" s="54"/>
      <c r="D124" s="55" t="s">
        <v>115</v>
      </c>
      <c r="E124" s="39">
        <v>0</v>
      </c>
      <c r="F124" s="39">
        <v>0</v>
      </c>
      <c r="G124" s="39">
        <v>0</v>
      </c>
      <c r="H124" s="39">
        <v>0</v>
      </c>
      <c r="I124" s="39">
        <v>0</v>
      </c>
      <c r="J124" s="39">
        <v>0</v>
      </c>
      <c r="K124" s="39">
        <v>0</v>
      </c>
      <c r="L124" s="39">
        <v>0</v>
      </c>
      <c r="M124" s="39">
        <v>0</v>
      </c>
      <c r="N124" s="39">
        <v>0</v>
      </c>
      <c r="O124" s="39">
        <v>0</v>
      </c>
      <c r="P124" s="39">
        <v>0</v>
      </c>
      <c r="Q124" s="44"/>
      <c r="R124" s="41"/>
      <c r="S124" s="59">
        <f t="shared" si="49"/>
        <v>0</v>
      </c>
      <c r="T124" s="41"/>
      <c r="U124" s="39"/>
      <c r="V124" s="39"/>
      <c r="W124" s="39"/>
    </row>
    <row r="125" spans="1:23" s="37" customFormat="1" ht="12" x14ac:dyDescent="0.2">
      <c r="A125" s="54"/>
      <c r="B125" s="54" t="s">
        <v>111</v>
      </c>
      <c r="C125" s="54"/>
      <c r="D125" s="55" t="s">
        <v>116</v>
      </c>
      <c r="E125" s="39">
        <v>0</v>
      </c>
      <c r="F125" s="39">
        <v>0</v>
      </c>
      <c r="G125" s="39">
        <v>0</v>
      </c>
      <c r="H125" s="39">
        <v>0</v>
      </c>
      <c r="I125" s="39">
        <v>0</v>
      </c>
      <c r="J125" s="39">
        <v>0</v>
      </c>
      <c r="K125" s="39">
        <v>0</v>
      </c>
      <c r="L125" s="39">
        <v>0</v>
      </c>
      <c r="M125" s="39">
        <v>0</v>
      </c>
      <c r="N125" s="39">
        <v>0</v>
      </c>
      <c r="O125" s="39">
        <v>0</v>
      </c>
      <c r="P125" s="39">
        <v>0</v>
      </c>
      <c r="Q125" s="44"/>
      <c r="R125" s="41"/>
      <c r="S125" s="59">
        <f t="shared" si="49"/>
        <v>0</v>
      </c>
      <c r="T125" s="41"/>
      <c r="U125" s="39"/>
      <c r="V125" s="39"/>
      <c r="W125" s="39"/>
    </row>
    <row r="126" spans="1:23" s="37" customFormat="1" ht="12" x14ac:dyDescent="0.2">
      <c r="A126" s="54"/>
      <c r="B126" s="54" t="s">
        <v>111</v>
      </c>
      <c r="C126" s="54"/>
      <c r="D126" s="55" t="s">
        <v>117</v>
      </c>
      <c r="E126" s="39">
        <v>0</v>
      </c>
      <c r="F126" s="39">
        <v>0</v>
      </c>
      <c r="G126" s="39">
        <v>0</v>
      </c>
      <c r="H126" s="39">
        <v>0</v>
      </c>
      <c r="I126" s="39">
        <v>0</v>
      </c>
      <c r="J126" s="39">
        <v>0</v>
      </c>
      <c r="K126" s="39">
        <v>0</v>
      </c>
      <c r="L126" s="39">
        <v>0</v>
      </c>
      <c r="M126" s="39">
        <v>0</v>
      </c>
      <c r="N126" s="39">
        <v>0</v>
      </c>
      <c r="O126" s="39">
        <v>0</v>
      </c>
      <c r="P126" s="39">
        <v>0</v>
      </c>
      <c r="Q126" s="44"/>
      <c r="R126" s="41"/>
      <c r="S126" s="59">
        <f t="shared" si="49"/>
        <v>0</v>
      </c>
      <c r="T126" s="41"/>
      <c r="U126" s="39"/>
      <c r="V126" s="39"/>
      <c r="W126" s="39"/>
    </row>
    <row r="127" spans="1:23" s="37" customFormat="1" ht="12" x14ac:dyDescent="0.2">
      <c r="A127" s="54"/>
      <c r="B127" s="54" t="s">
        <v>111</v>
      </c>
      <c r="C127" s="54"/>
      <c r="D127" s="55" t="s">
        <v>118</v>
      </c>
      <c r="E127" s="39">
        <v>0</v>
      </c>
      <c r="F127" s="39">
        <v>0</v>
      </c>
      <c r="G127" s="39">
        <v>0</v>
      </c>
      <c r="H127" s="39">
        <v>0</v>
      </c>
      <c r="I127" s="39">
        <v>0</v>
      </c>
      <c r="J127" s="39">
        <v>0</v>
      </c>
      <c r="K127" s="39">
        <v>0</v>
      </c>
      <c r="L127" s="39">
        <v>0</v>
      </c>
      <c r="M127" s="39">
        <v>0</v>
      </c>
      <c r="N127" s="39">
        <v>0</v>
      </c>
      <c r="O127" s="39">
        <v>0</v>
      </c>
      <c r="P127" s="39">
        <v>0</v>
      </c>
      <c r="Q127" s="44"/>
      <c r="R127" s="41"/>
      <c r="S127" s="59">
        <f t="shared" si="49"/>
        <v>0</v>
      </c>
      <c r="T127" s="41"/>
      <c r="U127" s="39"/>
      <c r="V127" s="39"/>
      <c r="W127" s="39"/>
    </row>
    <row r="128" spans="1:23" s="37" customFormat="1" ht="12" x14ac:dyDescent="0.2">
      <c r="A128" s="54"/>
      <c r="B128" s="54" t="s">
        <v>111</v>
      </c>
      <c r="C128" s="54"/>
      <c r="D128" s="55" t="s">
        <v>119</v>
      </c>
      <c r="E128" s="39">
        <f>-'FY21'!Q128</f>
        <v>0</v>
      </c>
      <c r="F128" s="39">
        <v>0</v>
      </c>
      <c r="G128" s="39">
        <v>0</v>
      </c>
      <c r="H128" s="39">
        <v>0</v>
      </c>
      <c r="I128" s="39">
        <v>0</v>
      </c>
      <c r="J128" s="39">
        <v>0</v>
      </c>
      <c r="K128" s="39">
        <v>0</v>
      </c>
      <c r="L128" s="39">
        <v>0</v>
      </c>
      <c r="M128" s="39">
        <v>0</v>
      </c>
      <c r="N128" s="39">
        <v>0</v>
      </c>
      <c r="O128" s="39">
        <v>0</v>
      </c>
      <c r="P128" s="39">
        <v>0</v>
      </c>
      <c r="Q128" s="44"/>
      <c r="R128" s="41"/>
      <c r="S128" s="59">
        <f t="shared" si="49"/>
        <v>0</v>
      </c>
      <c r="T128" s="41"/>
      <c r="U128" s="39"/>
      <c r="V128" s="39"/>
      <c r="W128" s="39"/>
    </row>
    <row r="129" spans="1:23" s="37" customFormat="1" ht="12" x14ac:dyDescent="0.2">
      <c r="A129" s="54"/>
      <c r="B129" s="54" t="s">
        <v>111</v>
      </c>
      <c r="C129" s="54"/>
      <c r="D129" s="55" t="s">
        <v>120</v>
      </c>
      <c r="E129" s="39">
        <v>0</v>
      </c>
      <c r="F129" s="39">
        <v>0</v>
      </c>
      <c r="G129" s="39">
        <v>0</v>
      </c>
      <c r="H129" s="39">
        <v>0</v>
      </c>
      <c r="I129" s="39">
        <v>0</v>
      </c>
      <c r="J129" s="39">
        <v>0</v>
      </c>
      <c r="K129" s="39">
        <v>0</v>
      </c>
      <c r="L129" s="39">
        <v>0</v>
      </c>
      <c r="M129" s="39">
        <v>0</v>
      </c>
      <c r="N129" s="39">
        <v>0</v>
      </c>
      <c r="O129" s="39">
        <v>0</v>
      </c>
      <c r="P129" s="39">
        <v>0</v>
      </c>
      <c r="Q129" s="44"/>
      <c r="R129" s="41"/>
      <c r="S129" s="59">
        <f t="shared" si="49"/>
        <v>0</v>
      </c>
      <c r="T129" s="41"/>
      <c r="U129" s="39"/>
      <c r="V129" s="39"/>
      <c r="W129" s="39"/>
    </row>
    <row r="130" spans="1:23" s="37" customFormat="1" ht="12" x14ac:dyDescent="0.2">
      <c r="A130" s="54"/>
      <c r="B130" s="54" t="s">
        <v>111</v>
      </c>
      <c r="C130" s="54"/>
      <c r="D130" s="55" t="s">
        <v>121</v>
      </c>
      <c r="E130" s="39">
        <v>0</v>
      </c>
      <c r="F130" s="39">
        <v>0</v>
      </c>
      <c r="G130" s="39">
        <v>0</v>
      </c>
      <c r="H130" s="39">
        <v>0</v>
      </c>
      <c r="I130" s="39">
        <v>0</v>
      </c>
      <c r="J130" s="39">
        <v>0</v>
      </c>
      <c r="K130" s="39">
        <v>0</v>
      </c>
      <c r="L130" s="39">
        <v>0</v>
      </c>
      <c r="M130" s="39">
        <v>0</v>
      </c>
      <c r="N130" s="39">
        <v>0</v>
      </c>
      <c r="O130" s="39">
        <v>0</v>
      </c>
      <c r="P130" s="39">
        <v>0</v>
      </c>
      <c r="Q130" s="44"/>
      <c r="R130" s="41"/>
      <c r="S130" s="59">
        <f t="shared" si="49"/>
        <v>0</v>
      </c>
      <c r="T130" s="41"/>
      <c r="U130" s="39"/>
      <c r="V130" s="39"/>
      <c r="W130" s="39"/>
    </row>
    <row r="131" spans="1:23" s="37" customFormat="1" ht="12" x14ac:dyDescent="0.2">
      <c r="A131" s="54"/>
      <c r="B131" s="54" t="s">
        <v>111</v>
      </c>
      <c r="C131" s="54" t="s">
        <v>122</v>
      </c>
      <c r="D131" s="55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44"/>
      <c r="R131" s="41"/>
      <c r="S131" s="59"/>
      <c r="T131" s="41"/>
      <c r="U131" s="39"/>
      <c r="V131" s="39"/>
      <c r="W131" s="39"/>
    </row>
    <row r="132" spans="1:23" s="37" customFormat="1" ht="12" x14ac:dyDescent="0.2">
      <c r="A132" s="54"/>
      <c r="B132" s="54" t="s">
        <v>111</v>
      </c>
      <c r="C132" s="54"/>
      <c r="D132" s="55" t="s">
        <v>123</v>
      </c>
      <c r="E132" s="39">
        <v>0</v>
      </c>
      <c r="F132" s="39">
        <v>0</v>
      </c>
      <c r="G132" s="39">
        <v>0</v>
      </c>
      <c r="H132" s="39">
        <v>0</v>
      </c>
      <c r="I132" s="39">
        <v>0</v>
      </c>
      <c r="J132" s="39">
        <v>0</v>
      </c>
      <c r="K132" s="39">
        <v>0</v>
      </c>
      <c r="L132" s="39">
        <v>0</v>
      </c>
      <c r="M132" s="39">
        <v>0</v>
      </c>
      <c r="N132" s="39">
        <v>0</v>
      </c>
      <c r="O132" s="39">
        <v>0</v>
      </c>
      <c r="P132" s="39">
        <v>0</v>
      </c>
      <c r="Q132" s="44"/>
      <c r="R132" s="41"/>
      <c r="S132" s="59">
        <f t="shared" si="49"/>
        <v>0</v>
      </c>
      <c r="T132" s="41"/>
      <c r="U132" s="39"/>
      <c r="V132" s="39"/>
      <c r="W132" s="39"/>
    </row>
    <row r="133" spans="1:23" s="37" customFormat="1" ht="12" x14ac:dyDescent="0.2">
      <c r="A133" s="54"/>
      <c r="B133" s="54"/>
      <c r="C133" s="54"/>
      <c r="D133" s="54" t="s">
        <v>124</v>
      </c>
      <c r="E133" s="39">
        <v>0</v>
      </c>
      <c r="F133" s="39">
        <v>0</v>
      </c>
      <c r="G133" s="39">
        <v>0</v>
      </c>
      <c r="H133" s="39">
        <v>0</v>
      </c>
      <c r="I133" s="39">
        <v>0</v>
      </c>
      <c r="J133" s="39">
        <v>0</v>
      </c>
      <c r="K133" s="39">
        <v>0</v>
      </c>
      <c r="L133" s="39">
        <v>0</v>
      </c>
      <c r="M133" s="39">
        <v>0</v>
      </c>
      <c r="N133" s="39">
        <v>0</v>
      </c>
      <c r="O133" s="39">
        <v>0</v>
      </c>
      <c r="P133" s="39">
        <v>0</v>
      </c>
      <c r="Q133" s="44"/>
      <c r="R133" s="41"/>
      <c r="S133" s="59">
        <f t="shared" si="49"/>
        <v>0</v>
      </c>
      <c r="T133" s="41"/>
      <c r="U133" s="39"/>
      <c r="V133" s="39"/>
      <c r="W133" s="39"/>
    </row>
    <row r="134" spans="1:23" s="37" customFormat="1" ht="12" x14ac:dyDescent="0.2">
      <c r="A134" s="54"/>
      <c r="B134" s="54"/>
      <c r="C134" s="54" t="s">
        <v>125</v>
      </c>
      <c r="D134" s="54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44"/>
      <c r="R134" s="41"/>
      <c r="S134" s="59"/>
      <c r="T134" s="41"/>
      <c r="U134" s="39"/>
      <c r="V134" s="39"/>
      <c r="W134" s="39"/>
    </row>
    <row r="135" spans="1:23" s="37" customFormat="1" ht="12" x14ac:dyDescent="0.2">
      <c r="A135" s="54"/>
      <c r="B135" s="54"/>
      <c r="C135" s="54"/>
      <c r="D135" s="54" t="s">
        <v>129</v>
      </c>
      <c r="E135" s="39">
        <v>0</v>
      </c>
      <c r="F135" s="39">
        <v>0</v>
      </c>
      <c r="G135" s="39">
        <v>0</v>
      </c>
      <c r="H135" s="39">
        <v>0</v>
      </c>
      <c r="I135" s="39">
        <v>0</v>
      </c>
      <c r="J135" s="39">
        <v>0</v>
      </c>
      <c r="K135" s="39">
        <v>0</v>
      </c>
      <c r="L135" s="39">
        <v>0</v>
      </c>
      <c r="M135" s="39">
        <v>0</v>
      </c>
      <c r="N135" s="39">
        <v>0</v>
      </c>
      <c r="O135" s="39">
        <v>0</v>
      </c>
      <c r="P135" s="39">
        <v>0</v>
      </c>
      <c r="Q135" s="44"/>
      <c r="R135" s="41"/>
      <c r="S135" s="59">
        <f t="shared" si="49"/>
        <v>0</v>
      </c>
      <c r="T135" s="41"/>
      <c r="U135" s="39"/>
      <c r="V135" s="39"/>
      <c r="W135" s="39"/>
    </row>
    <row r="136" spans="1:23" s="37" customFormat="1" ht="12" x14ac:dyDescent="0.2">
      <c r="A136" s="54"/>
      <c r="B136" s="54"/>
      <c r="C136" s="54"/>
      <c r="D136" s="54" t="s">
        <v>130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  <c r="P136" s="42">
        <v>0</v>
      </c>
      <c r="Q136" s="47"/>
      <c r="R136" s="41"/>
      <c r="S136" s="59">
        <f t="shared" si="49"/>
        <v>0</v>
      </c>
      <c r="T136" s="41"/>
      <c r="U136" s="39"/>
      <c r="V136" s="39"/>
      <c r="W136" s="39"/>
    </row>
    <row r="137" spans="1:23" s="37" customFormat="1" ht="12" x14ac:dyDescent="0.2">
      <c r="A137" s="54"/>
      <c r="B137" s="54"/>
      <c r="C137" s="54"/>
      <c r="D137" s="54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41"/>
      <c r="S137" s="40"/>
      <c r="T137" s="41"/>
      <c r="U137" s="39"/>
      <c r="V137" s="39"/>
      <c r="W137" s="39"/>
    </row>
    <row r="138" spans="1:23" s="37" customFormat="1" ht="12" x14ac:dyDescent="0.2">
      <c r="A138" s="54"/>
      <c r="B138" s="54" t="s">
        <v>126</v>
      </c>
      <c r="C138" s="54"/>
      <c r="D138" s="54"/>
      <c r="E138" s="39">
        <f>SUM(E120:E136)</f>
        <v>9252.0555606574926</v>
      </c>
      <c r="F138" s="39">
        <f>SUM(F120:F136)</f>
        <v>-45214.424639342469</v>
      </c>
      <c r="G138" s="39">
        <f t="shared" ref="G138:P138" si="51">SUM(G120:G136)</f>
        <v>-39224.940779342462</v>
      </c>
      <c r="H138" s="39">
        <f t="shared" si="51"/>
        <v>30426.72102065754</v>
      </c>
      <c r="I138" s="39">
        <f t="shared" si="51"/>
        <v>-27561.103079342487</v>
      </c>
      <c r="J138" s="39">
        <f t="shared" si="51"/>
        <v>-513.46462934251758</v>
      </c>
      <c r="K138" s="39">
        <f t="shared" si="51"/>
        <v>60052.948420657514</v>
      </c>
      <c r="L138" s="39">
        <f t="shared" si="51"/>
        <v>-23660.582279342518</v>
      </c>
      <c r="M138" s="39">
        <f t="shared" si="51"/>
        <v>-2295.4021793424909</v>
      </c>
      <c r="N138" s="39">
        <f t="shared" si="51"/>
        <v>54623.354820657551</v>
      </c>
      <c r="O138" s="39">
        <f t="shared" si="51"/>
        <v>7930.4396106575441</v>
      </c>
      <c r="P138" s="39">
        <f t="shared" si="51"/>
        <v>63139.832852657506</v>
      </c>
      <c r="Q138" s="39"/>
      <c r="R138" s="41"/>
      <c r="S138" s="40"/>
      <c r="T138" s="41"/>
      <c r="U138" s="39"/>
      <c r="V138" s="39"/>
      <c r="W138" s="39"/>
    </row>
    <row r="139" spans="1:23" s="37" customFormat="1" ht="12" x14ac:dyDescent="0.2">
      <c r="A139" s="54"/>
      <c r="B139" s="54" t="s">
        <v>127</v>
      </c>
      <c r="C139" s="54"/>
      <c r="D139" s="54"/>
      <c r="E139" s="42">
        <f>'FY21'!P141</f>
        <v>18558.239619500004</v>
      </c>
      <c r="F139" s="42">
        <f>E141</f>
        <v>27810.295180157496</v>
      </c>
      <c r="G139" s="42">
        <f t="shared" ref="G139:P139" si="52">F141</f>
        <v>-17404.129459184973</v>
      </c>
      <c r="H139" s="42">
        <f t="shared" si="52"/>
        <v>-56629.070238527434</v>
      </c>
      <c r="I139" s="42">
        <f t="shared" si="52"/>
        <v>-26202.349217869894</v>
      </c>
      <c r="J139" s="42">
        <f t="shared" si="52"/>
        <v>-53763.452297212381</v>
      </c>
      <c r="K139" s="42">
        <f t="shared" si="52"/>
        <v>-54276.916926554899</v>
      </c>
      <c r="L139" s="42">
        <f t="shared" si="52"/>
        <v>5776.0314941026154</v>
      </c>
      <c r="M139" s="42">
        <f t="shared" si="52"/>
        <v>-17884.550785239902</v>
      </c>
      <c r="N139" s="42">
        <f t="shared" si="52"/>
        <v>-20179.952964582393</v>
      </c>
      <c r="O139" s="42">
        <f t="shared" si="52"/>
        <v>34443.401856075157</v>
      </c>
      <c r="P139" s="42">
        <f t="shared" si="52"/>
        <v>42373.841466732702</v>
      </c>
      <c r="Q139" s="39"/>
      <c r="R139" s="41"/>
      <c r="S139" s="40"/>
      <c r="T139" s="41"/>
      <c r="U139" s="39"/>
      <c r="V139" s="39"/>
      <c r="W139" s="39"/>
    </row>
    <row r="140" spans="1:23" s="37" customFormat="1" ht="12" x14ac:dyDescent="0.2">
      <c r="A140" s="54"/>
      <c r="B140" s="54"/>
      <c r="C140" s="54"/>
      <c r="D140" s="54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41"/>
      <c r="S140" s="40"/>
      <c r="T140" s="41"/>
      <c r="U140" s="39"/>
      <c r="V140" s="39"/>
      <c r="W140" s="39"/>
    </row>
    <row r="141" spans="1:23" s="37" customFormat="1" ht="12.75" thickBot="1" x14ac:dyDescent="0.25">
      <c r="A141" s="53"/>
      <c r="B141" s="53" t="s">
        <v>128</v>
      </c>
      <c r="C141" s="53"/>
      <c r="D141" s="53"/>
      <c r="E141" s="194">
        <f>SUM(E138:E140)</f>
        <v>27810.295180157496</v>
      </c>
      <c r="F141" s="194">
        <f>SUM(F138:F140)</f>
        <v>-17404.129459184973</v>
      </c>
      <c r="G141" s="194">
        <f t="shared" ref="G141:P141" si="53">SUM(G138:G140)</f>
        <v>-56629.070238527434</v>
      </c>
      <c r="H141" s="194">
        <f t="shared" si="53"/>
        <v>-26202.349217869894</v>
      </c>
      <c r="I141" s="194">
        <f t="shared" si="53"/>
        <v>-53763.452297212381</v>
      </c>
      <c r="J141" s="194">
        <f t="shared" si="53"/>
        <v>-54276.916926554899</v>
      </c>
      <c r="K141" s="194">
        <f t="shared" si="53"/>
        <v>5776.0314941026154</v>
      </c>
      <c r="L141" s="194">
        <f t="shared" si="53"/>
        <v>-17884.550785239902</v>
      </c>
      <c r="M141" s="194">
        <f t="shared" si="53"/>
        <v>-20179.952964582393</v>
      </c>
      <c r="N141" s="194">
        <f t="shared" si="53"/>
        <v>34443.401856075157</v>
      </c>
      <c r="O141" s="194">
        <f t="shared" si="53"/>
        <v>42373.841466732702</v>
      </c>
      <c r="P141" s="194">
        <f t="shared" si="53"/>
        <v>105513.67431939021</v>
      </c>
      <c r="Q141" s="39"/>
      <c r="R141" s="41"/>
      <c r="S141" s="40"/>
      <c r="T141" s="41"/>
      <c r="U141" s="39"/>
      <c r="V141" s="39"/>
      <c r="W141" s="39"/>
    </row>
    <row r="142" spans="1:23" s="37" customFormat="1" ht="12.75" thickTop="1" x14ac:dyDescent="0.2">
      <c r="C142" s="38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41"/>
      <c r="S142" s="40"/>
      <c r="T142" s="41"/>
      <c r="U142" s="39"/>
      <c r="V142" s="39"/>
      <c r="W142" s="39"/>
    </row>
    <row r="143" spans="1:23" s="37" customFormat="1" ht="12" x14ac:dyDescent="0.2">
      <c r="C143" s="38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41"/>
      <c r="S143" s="40"/>
      <c r="T143" s="41"/>
      <c r="U143" s="39"/>
      <c r="V143" s="39"/>
      <c r="W143" s="39"/>
    </row>
    <row r="144" spans="1:23" s="37" customFormat="1" ht="12" x14ac:dyDescent="0.2">
      <c r="C144" s="38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41"/>
      <c r="S144" s="40"/>
      <c r="T144" s="41"/>
      <c r="U144" s="39"/>
      <c r="V144" s="39"/>
      <c r="W144" s="39"/>
    </row>
    <row r="145" spans="3:23" s="37" customFormat="1" ht="12" x14ac:dyDescent="0.2">
      <c r="C145" s="38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41"/>
      <c r="S145" s="40"/>
      <c r="T145" s="41"/>
      <c r="U145" s="39"/>
      <c r="V145" s="39"/>
      <c r="W145" s="39"/>
    </row>
    <row r="146" spans="3:23" s="37" customFormat="1" ht="12" x14ac:dyDescent="0.2">
      <c r="C146" s="38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41"/>
      <c r="S146" s="40"/>
      <c r="T146" s="41"/>
      <c r="U146" s="39"/>
      <c r="V146" s="39"/>
      <c r="W146" s="39"/>
    </row>
    <row r="147" spans="3:23" s="37" customFormat="1" ht="12" x14ac:dyDescent="0.2">
      <c r="C147" s="38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41"/>
      <c r="S147" s="40"/>
      <c r="T147" s="41"/>
      <c r="U147" s="39"/>
      <c r="V147" s="39"/>
      <c r="W147" s="39"/>
    </row>
    <row r="148" spans="3:23" s="37" customFormat="1" ht="12" x14ac:dyDescent="0.2">
      <c r="C148" s="38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41"/>
      <c r="S148" s="40"/>
      <c r="T148" s="41"/>
      <c r="U148" s="39"/>
      <c r="V148" s="39"/>
      <c r="W148" s="39"/>
    </row>
    <row r="149" spans="3:23" s="37" customFormat="1" ht="12" x14ac:dyDescent="0.2">
      <c r="C149" s="38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41"/>
      <c r="S149" s="40"/>
      <c r="T149" s="41"/>
      <c r="U149" s="39"/>
      <c r="V149" s="39"/>
      <c r="W149" s="39"/>
    </row>
    <row r="150" spans="3:23" s="37" customFormat="1" ht="12" x14ac:dyDescent="0.2">
      <c r="C150" s="38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41"/>
      <c r="S150" s="40"/>
      <c r="T150" s="41"/>
      <c r="U150" s="39"/>
      <c r="V150" s="39"/>
      <c r="W150" s="39"/>
    </row>
    <row r="151" spans="3:23" s="37" customFormat="1" ht="12" x14ac:dyDescent="0.2">
      <c r="C151" s="38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41"/>
      <c r="S151" s="40"/>
      <c r="T151" s="41"/>
      <c r="U151" s="39"/>
      <c r="V151" s="39"/>
      <c r="W151" s="39"/>
    </row>
    <row r="152" spans="3:23" s="37" customFormat="1" ht="12" x14ac:dyDescent="0.2">
      <c r="C152" s="38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41"/>
      <c r="S152" s="40"/>
      <c r="T152" s="41"/>
      <c r="U152" s="39"/>
      <c r="V152" s="39"/>
      <c r="W152" s="39"/>
    </row>
    <row r="153" spans="3:23" s="37" customFormat="1" ht="12" x14ac:dyDescent="0.2">
      <c r="C153" s="38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41"/>
      <c r="S153" s="40"/>
      <c r="T153" s="41"/>
      <c r="U153" s="39"/>
      <c r="V153" s="39"/>
      <c r="W153" s="39"/>
    </row>
    <row r="154" spans="3:23" s="37" customFormat="1" ht="12" x14ac:dyDescent="0.2">
      <c r="C154" s="38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41"/>
      <c r="S154" s="40"/>
      <c r="T154" s="41"/>
      <c r="U154" s="39"/>
      <c r="V154" s="39"/>
      <c r="W154" s="39"/>
    </row>
    <row r="155" spans="3:23" s="37" customFormat="1" ht="12" x14ac:dyDescent="0.2">
      <c r="C155" s="38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41"/>
      <c r="S155" s="40"/>
      <c r="T155" s="41"/>
      <c r="U155" s="39"/>
      <c r="V155" s="39"/>
      <c r="W155" s="39"/>
    </row>
    <row r="156" spans="3:23" s="37" customFormat="1" ht="12" x14ac:dyDescent="0.2">
      <c r="C156" s="38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41"/>
      <c r="S156" s="40"/>
      <c r="T156" s="41"/>
      <c r="U156" s="39"/>
      <c r="V156" s="39"/>
      <c r="W156" s="39"/>
    </row>
    <row r="157" spans="3:23" s="37" customFormat="1" ht="12" x14ac:dyDescent="0.2">
      <c r="C157" s="38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41"/>
      <c r="S157" s="40"/>
      <c r="T157" s="41"/>
      <c r="U157" s="39"/>
      <c r="V157" s="39"/>
      <c r="W157" s="39"/>
    </row>
    <row r="158" spans="3:23" s="37" customFormat="1" ht="12" x14ac:dyDescent="0.2">
      <c r="C158" s="38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41"/>
      <c r="S158" s="40"/>
      <c r="T158" s="41"/>
      <c r="U158" s="39"/>
      <c r="V158" s="39"/>
      <c r="W158" s="39"/>
    </row>
    <row r="159" spans="3:23" s="37" customFormat="1" ht="12" x14ac:dyDescent="0.2">
      <c r="C159" s="38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41"/>
      <c r="S159" s="40"/>
      <c r="T159" s="41"/>
      <c r="U159" s="39"/>
      <c r="V159" s="39"/>
      <c r="W159" s="39"/>
    </row>
    <row r="160" spans="3:23" s="37" customFormat="1" ht="12" x14ac:dyDescent="0.2">
      <c r="C160" s="38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41"/>
      <c r="S160" s="40"/>
      <c r="T160" s="41"/>
      <c r="U160" s="39"/>
      <c r="V160" s="39"/>
      <c r="W160" s="39"/>
    </row>
    <row r="161" spans="3:23" s="37" customFormat="1" ht="12" x14ac:dyDescent="0.2">
      <c r="C161" s="38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41"/>
      <c r="S161" s="40"/>
      <c r="T161" s="41"/>
      <c r="U161" s="39"/>
      <c r="V161" s="39"/>
      <c r="W161" s="39"/>
    </row>
    <row r="162" spans="3:23" s="37" customFormat="1" ht="12" x14ac:dyDescent="0.2">
      <c r="C162" s="38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41"/>
      <c r="S162" s="40"/>
      <c r="T162" s="41"/>
      <c r="U162" s="39"/>
      <c r="V162" s="39"/>
      <c r="W162" s="39"/>
    </row>
    <row r="163" spans="3:23" s="37" customFormat="1" ht="12" x14ac:dyDescent="0.2">
      <c r="C163" s="38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41"/>
      <c r="S163" s="40"/>
      <c r="T163" s="41"/>
      <c r="U163" s="39"/>
      <c r="V163" s="39"/>
      <c r="W163" s="39"/>
    </row>
    <row r="164" spans="3:23" s="37" customFormat="1" ht="12" x14ac:dyDescent="0.2">
      <c r="C164" s="38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41"/>
      <c r="S164" s="40"/>
      <c r="T164" s="41"/>
      <c r="U164" s="39"/>
      <c r="V164" s="39"/>
      <c r="W164" s="39"/>
    </row>
    <row r="165" spans="3:23" s="37" customFormat="1" ht="12" x14ac:dyDescent="0.2">
      <c r="C165" s="38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41"/>
      <c r="S165" s="40"/>
      <c r="T165" s="41"/>
      <c r="U165" s="39"/>
      <c r="V165" s="39"/>
      <c r="W165" s="39"/>
    </row>
    <row r="166" spans="3:23" s="37" customFormat="1" ht="12" x14ac:dyDescent="0.2">
      <c r="C166" s="38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41"/>
      <c r="S166" s="40"/>
      <c r="T166" s="41"/>
      <c r="U166" s="39"/>
      <c r="V166" s="39"/>
      <c r="W166" s="39"/>
    </row>
    <row r="167" spans="3:23" s="37" customFormat="1" ht="12" x14ac:dyDescent="0.2">
      <c r="C167" s="38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41"/>
      <c r="S167" s="40"/>
      <c r="T167" s="41"/>
      <c r="U167" s="39"/>
      <c r="V167" s="39"/>
      <c r="W167" s="39"/>
    </row>
    <row r="168" spans="3:23" s="37" customFormat="1" ht="12" x14ac:dyDescent="0.2">
      <c r="C168" s="38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41"/>
      <c r="S168" s="40"/>
      <c r="T168" s="41"/>
      <c r="U168" s="39"/>
      <c r="V168" s="39"/>
      <c r="W168" s="39"/>
    </row>
    <row r="169" spans="3:23" s="37" customFormat="1" ht="12" x14ac:dyDescent="0.2">
      <c r="C169" s="38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41"/>
      <c r="S169" s="40"/>
      <c r="T169" s="41"/>
      <c r="U169" s="39"/>
      <c r="V169" s="39"/>
      <c r="W169" s="39"/>
    </row>
    <row r="170" spans="3:23" s="37" customFormat="1" ht="12" x14ac:dyDescent="0.2">
      <c r="C170" s="38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41"/>
      <c r="S170" s="40"/>
      <c r="T170" s="41"/>
      <c r="U170" s="39"/>
      <c r="V170" s="39"/>
      <c r="W170" s="39"/>
    </row>
    <row r="171" spans="3:23" s="37" customFormat="1" ht="12" x14ac:dyDescent="0.2">
      <c r="C171" s="38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41"/>
      <c r="S171" s="40"/>
      <c r="T171" s="41"/>
      <c r="U171" s="39"/>
      <c r="V171" s="39"/>
      <c r="W171" s="39"/>
    </row>
    <row r="172" spans="3:23" s="37" customFormat="1" ht="12" x14ac:dyDescent="0.2">
      <c r="C172" s="38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41"/>
      <c r="S172" s="40"/>
      <c r="T172" s="41"/>
      <c r="U172" s="39"/>
      <c r="V172" s="39"/>
      <c r="W172" s="39"/>
    </row>
    <row r="173" spans="3:23" s="37" customFormat="1" ht="12" x14ac:dyDescent="0.2">
      <c r="C173" s="38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41"/>
      <c r="S173" s="40"/>
      <c r="T173" s="41"/>
      <c r="U173" s="39"/>
      <c r="V173" s="39"/>
      <c r="W173" s="39"/>
    </row>
    <row r="174" spans="3:23" s="37" customFormat="1" ht="12" x14ac:dyDescent="0.2">
      <c r="C174" s="38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41"/>
      <c r="S174" s="40"/>
      <c r="T174" s="41"/>
      <c r="U174" s="39"/>
      <c r="V174" s="39"/>
      <c r="W174" s="39"/>
    </row>
    <row r="175" spans="3:23" s="37" customFormat="1" ht="12" x14ac:dyDescent="0.2">
      <c r="C175" s="38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41"/>
      <c r="S175" s="40"/>
      <c r="T175" s="41"/>
      <c r="U175" s="39"/>
      <c r="V175" s="39"/>
      <c r="W175" s="39"/>
    </row>
    <row r="176" spans="3:23" s="37" customFormat="1" ht="12" x14ac:dyDescent="0.2">
      <c r="C176" s="38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41"/>
      <c r="S176" s="40"/>
      <c r="T176" s="41"/>
      <c r="U176" s="39"/>
      <c r="V176" s="39"/>
      <c r="W176" s="39"/>
    </row>
    <row r="177" spans="3:23" s="37" customFormat="1" ht="12" x14ac:dyDescent="0.2">
      <c r="C177" s="38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41"/>
      <c r="S177" s="40"/>
      <c r="T177" s="41"/>
      <c r="U177" s="39"/>
      <c r="V177" s="39"/>
      <c r="W177" s="39"/>
    </row>
    <row r="178" spans="3:23" s="37" customFormat="1" ht="12" x14ac:dyDescent="0.2">
      <c r="C178" s="38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41"/>
      <c r="S178" s="40"/>
      <c r="T178" s="41"/>
      <c r="U178" s="39"/>
      <c r="V178" s="39"/>
      <c r="W178" s="39"/>
    </row>
    <row r="179" spans="3:23" s="37" customFormat="1" ht="12" x14ac:dyDescent="0.2">
      <c r="C179" s="38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41"/>
      <c r="S179" s="40"/>
      <c r="T179" s="41"/>
      <c r="U179" s="39"/>
      <c r="V179" s="39"/>
      <c r="W179" s="39"/>
    </row>
    <row r="180" spans="3:23" s="37" customFormat="1" ht="12" x14ac:dyDescent="0.2">
      <c r="C180" s="38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41"/>
      <c r="S180" s="40"/>
      <c r="T180" s="41"/>
      <c r="U180" s="39"/>
      <c r="V180" s="39"/>
      <c r="W180" s="39"/>
    </row>
    <row r="181" spans="3:23" s="37" customFormat="1" ht="12" x14ac:dyDescent="0.2">
      <c r="C181" s="38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41"/>
      <c r="S181" s="40"/>
      <c r="T181" s="41"/>
      <c r="U181" s="39"/>
      <c r="V181" s="39"/>
      <c r="W181" s="39"/>
    </row>
    <row r="182" spans="3:23" s="37" customFormat="1" ht="12" x14ac:dyDescent="0.2">
      <c r="C182" s="38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41"/>
      <c r="S182" s="40"/>
      <c r="T182" s="41"/>
      <c r="U182" s="39"/>
      <c r="V182" s="39"/>
      <c r="W182" s="39"/>
    </row>
    <row r="183" spans="3:23" s="37" customFormat="1" ht="12" x14ac:dyDescent="0.2">
      <c r="C183" s="38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41"/>
      <c r="S183" s="40"/>
      <c r="T183" s="41"/>
      <c r="U183" s="39"/>
      <c r="V183" s="39"/>
      <c r="W183" s="39"/>
    </row>
    <row r="184" spans="3:23" s="37" customFormat="1" ht="12" x14ac:dyDescent="0.2">
      <c r="C184" s="38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41"/>
      <c r="S184" s="40"/>
      <c r="T184" s="41"/>
      <c r="U184" s="39"/>
      <c r="V184" s="39"/>
      <c r="W184" s="39"/>
    </row>
    <row r="185" spans="3:23" s="37" customFormat="1" ht="12" x14ac:dyDescent="0.2">
      <c r="C185" s="38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41"/>
      <c r="S185" s="40"/>
      <c r="T185" s="41"/>
      <c r="U185" s="39"/>
      <c r="V185" s="39"/>
      <c r="W185" s="39"/>
    </row>
    <row r="186" spans="3:23" s="37" customFormat="1" ht="12" x14ac:dyDescent="0.2">
      <c r="C186" s="38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41"/>
      <c r="S186" s="40"/>
      <c r="T186" s="41"/>
      <c r="U186" s="39"/>
      <c r="V186" s="39"/>
      <c r="W186" s="39"/>
    </row>
    <row r="187" spans="3:23" s="37" customFormat="1" ht="12" x14ac:dyDescent="0.2">
      <c r="C187" s="38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41"/>
      <c r="S187" s="40"/>
      <c r="T187" s="41"/>
      <c r="U187" s="39"/>
      <c r="V187" s="39"/>
      <c r="W187" s="39"/>
    </row>
    <row r="188" spans="3:23" s="37" customFormat="1" ht="12" x14ac:dyDescent="0.2">
      <c r="C188" s="38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41"/>
      <c r="S188" s="40"/>
      <c r="T188" s="41"/>
      <c r="U188" s="39"/>
      <c r="V188" s="39"/>
      <c r="W188" s="39"/>
    </row>
    <row r="189" spans="3:23" s="37" customFormat="1" ht="12" x14ac:dyDescent="0.2">
      <c r="C189" s="38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41"/>
      <c r="S189" s="40"/>
      <c r="T189" s="41"/>
      <c r="U189" s="39"/>
      <c r="V189" s="39"/>
      <c r="W189" s="39"/>
    </row>
    <row r="190" spans="3:23" s="37" customFormat="1" ht="12" x14ac:dyDescent="0.2">
      <c r="C190" s="38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41"/>
      <c r="S190" s="40"/>
      <c r="T190" s="41"/>
      <c r="U190" s="39"/>
      <c r="V190" s="39"/>
      <c r="W190" s="39"/>
    </row>
    <row r="191" spans="3:23" s="37" customFormat="1" ht="12" x14ac:dyDescent="0.2">
      <c r="C191" s="38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41"/>
      <c r="S191" s="40"/>
      <c r="T191" s="41"/>
      <c r="U191" s="39"/>
      <c r="V191" s="39"/>
      <c r="W191" s="39"/>
    </row>
    <row r="192" spans="3:23" s="37" customFormat="1" ht="12" x14ac:dyDescent="0.2">
      <c r="C192" s="38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41"/>
      <c r="S192" s="40"/>
      <c r="T192" s="41"/>
      <c r="U192" s="39"/>
      <c r="V192" s="39"/>
      <c r="W192" s="39"/>
    </row>
    <row r="193" spans="3:23" s="37" customFormat="1" ht="12" x14ac:dyDescent="0.2">
      <c r="C193" s="38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41"/>
      <c r="S193" s="40"/>
      <c r="T193" s="41"/>
      <c r="U193" s="39"/>
      <c r="V193" s="39"/>
      <c r="W193" s="39"/>
    </row>
    <row r="194" spans="3:23" s="37" customFormat="1" ht="12" x14ac:dyDescent="0.2">
      <c r="C194" s="38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41"/>
      <c r="S194" s="40"/>
      <c r="T194" s="41"/>
      <c r="U194" s="39"/>
      <c r="V194" s="39"/>
      <c r="W194" s="39"/>
    </row>
    <row r="195" spans="3:23" s="37" customFormat="1" ht="12" x14ac:dyDescent="0.2">
      <c r="C195" s="38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41"/>
      <c r="S195" s="40"/>
      <c r="T195" s="41"/>
      <c r="U195" s="39"/>
      <c r="V195" s="39"/>
      <c r="W195" s="39"/>
    </row>
    <row r="196" spans="3:23" s="37" customFormat="1" ht="12" x14ac:dyDescent="0.2">
      <c r="C196" s="38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41"/>
      <c r="S196" s="40"/>
      <c r="T196" s="41"/>
      <c r="U196" s="39"/>
      <c r="V196" s="39"/>
      <c r="W196" s="39"/>
    </row>
    <row r="197" spans="3:23" s="37" customFormat="1" ht="12" x14ac:dyDescent="0.2">
      <c r="C197" s="38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41"/>
      <c r="S197" s="40"/>
      <c r="T197" s="41"/>
      <c r="U197" s="39"/>
      <c r="V197" s="39"/>
      <c r="W197" s="39"/>
    </row>
    <row r="198" spans="3:23" s="37" customFormat="1" ht="12" x14ac:dyDescent="0.2">
      <c r="C198" s="38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41"/>
      <c r="S198" s="40"/>
      <c r="T198" s="41"/>
      <c r="U198" s="39"/>
      <c r="V198" s="39"/>
      <c r="W198" s="39"/>
    </row>
    <row r="199" spans="3:23" s="37" customFormat="1" ht="12" x14ac:dyDescent="0.2">
      <c r="C199" s="38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41"/>
      <c r="S199" s="40"/>
      <c r="T199" s="41"/>
      <c r="U199" s="39"/>
      <c r="V199" s="39"/>
      <c r="W199" s="39"/>
    </row>
    <row r="200" spans="3:23" s="37" customFormat="1" ht="12" x14ac:dyDescent="0.2">
      <c r="C200" s="38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41"/>
      <c r="S200" s="40"/>
      <c r="T200" s="41"/>
      <c r="U200" s="39"/>
      <c r="V200" s="39"/>
      <c r="W200" s="39"/>
    </row>
    <row r="201" spans="3:23" s="37" customFormat="1" ht="12" x14ac:dyDescent="0.2">
      <c r="C201" s="38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41"/>
      <c r="S201" s="40"/>
      <c r="T201" s="41"/>
      <c r="U201" s="39"/>
      <c r="V201" s="39"/>
      <c r="W201" s="39"/>
    </row>
    <row r="202" spans="3:23" s="37" customFormat="1" ht="12" x14ac:dyDescent="0.2">
      <c r="C202" s="38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41"/>
      <c r="S202" s="40"/>
      <c r="T202" s="41"/>
      <c r="U202" s="39"/>
      <c r="V202" s="39"/>
      <c r="W202" s="39"/>
    </row>
    <row r="203" spans="3:23" s="37" customFormat="1" ht="12" x14ac:dyDescent="0.2">
      <c r="C203" s="38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41"/>
      <c r="S203" s="40"/>
      <c r="T203" s="41"/>
      <c r="U203" s="39"/>
      <c r="V203" s="39"/>
      <c r="W203" s="39"/>
    </row>
    <row r="204" spans="3:23" s="37" customFormat="1" ht="12" x14ac:dyDescent="0.2">
      <c r="C204" s="38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41"/>
      <c r="S204" s="40"/>
      <c r="T204" s="41"/>
      <c r="U204" s="39"/>
      <c r="V204" s="39"/>
      <c r="W204" s="39"/>
    </row>
    <row r="205" spans="3:23" s="37" customFormat="1" ht="12" x14ac:dyDescent="0.2">
      <c r="C205" s="38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41"/>
      <c r="S205" s="40"/>
      <c r="T205" s="41"/>
      <c r="U205" s="39"/>
      <c r="V205" s="39"/>
      <c r="W205" s="39"/>
    </row>
    <row r="206" spans="3:23" s="37" customFormat="1" ht="12" x14ac:dyDescent="0.2">
      <c r="C206" s="38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41"/>
      <c r="S206" s="40"/>
      <c r="T206" s="41"/>
      <c r="U206" s="39"/>
      <c r="V206" s="39"/>
      <c r="W206" s="39"/>
    </row>
    <row r="207" spans="3:23" s="37" customFormat="1" ht="12" x14ac:dyDescent="0.2">
      <c r="C207" s="38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41"/>
      <c r="S207" s="40"/>
      <c r="T207" s="41"/>
      <c r="U207" s="39"/>
      <c r="V207" s="39"/>
      <c r="W207" s="39"/>
    </row>
    <row r="208" spans="3:23" s="37" customFormat="1" ht="12" x14ac:dyDescent="0.2">
      <c r="C208" s="38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41"/>
      <c r="S208" s="40"/>
      <c r="T208" s="41"/>
      <c r="U208" s="39"/>
      <c r="V208" s="39"/>
      <c r="W208" s="39"/>
    </row>
    <row r="209" spans="3:23" s="37" customFormat="1" ht="12" x14ac:dyDescent="0.2">
      <c r="C209" s="38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41"/>
      <c r="S209" s="40"/>
      <c r="T209" s="41"/>
      <c r="U209" s="39"/>
      <c r="V209" s="39"/>
      <c r="W209" s="39"/>
    </row>
    <row r="210" spans="3:23" s="37" customFormat="1" ht="12" x14ac:dyDescent="0.2">
      <c r="C210" s="38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41"/>
      <c r="S210" s="40"/>
      <c r="T210" s="41"/>
      <c r="U210" s="39"/>
      <c r="V210" s="39"/>
      <c r="W210" s="39"/>
    </row>
    <row r="211" spans="3:23" s="37" customFormat="1" ht="12" x14ac:dyDescent="0.2">
      <c r="C211" s="38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41"/>
      <c r="S211" s="40"/>
      <c r="T211" s="41"/>
      <c r="U211" s="39"/>
      <c r="V211" s="39"/>
      <c r="W211" s="39"/>
    </row>
    <row r="212" spans="3:23" s="37" customFormat="1" ht="12" x14ac:dyDescent="0.2">
      <c r="C212" s="38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41"/>
      <c r="S212" s="40"/>
      <c r="T212" s="41"/>
      <c r="U212" s="39"/>
      <c r="V212" s="39"/>
      <c r="W212" s="39"/>
    </row>
    <row r="213" spans="3:23" s="37" customFormat="1" ht="12" x14ac:dyDescent="0.2">
      <c r="C213" s="38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41"/>
      <c r="S213" s="40"/>
      <c r="T213" s="41"/>
      <c r="U213" s="39"/>
      <c r="V213" s="39"/>
      <c r="W213" s="39"/>
    </row>
    <row r="214" spans="3:23" s="37" customFormat="1" ht="12" x14ac:dyDescent="0.2">
      <c r="C214" s="38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41"/>
      <c r="S214" s="40"/>
      <c r="T214" s="41"/>
      <c r="U214" s="39"/>
      <c r="V214" s="39"/>
      <c r="W214" s="39"/>
    </row>
    <row r="215" spans="3:23" s="37" customFormat="1" ht="12" x14ac:dyDescent="0.2">
      <c r="C215" s="38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41"/>
      <c r="S215" s="40"/>
      <c r="T215" s="41"/>
      <c r="U215" s="39"/>
      <c r="V215" s="39"/>
      <c r="W215" s="39"/>
    </row>
    <row r="216" spans="3:23" s="37" customFormat="1" ht="12" x14ac:dyDescent="0.2">
      <c r="C216" s="38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41"/>
      <c r="S216" s="40"/>
      <c r="T216" s="41"/>
      <c r="U216" s="39"/>
      <c r="V216" s="39"/>
      <c r="W216" s="39"/>
    </row>
    <row r="217" spans="3:23" s="37" customFormat="1" ht="12" x14ac:dyDescent="0.2">
      <c r="C217" s="38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41"/>
      <c r="S217" s="40"/>
      <c r="T217" s="41"/>
      <c r="U217" s="39"/>
      <c r="V217" s="39"/>
      <c r="W217" s="39"/>
    </row>
    <row r="218" spans="3:23" s="37" customFormat="1" ht="12" x14ac:dyDescent="0.2">
      <c r="C218" s="38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41"/>
      <c r="S218" s="40"/>
      <c r="T218" s="41"/>
      <c r="U218" s="39"/>
      <c r="V218" s="39"/>
      <c r="W218" s="39"/>
    </row>
    <row r="219" spans="3:23" s="37" customFormat="1" ht="12" x14ac:dyDescent="0.2">
      <c r="C219" s="38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41"/>
      <c r="S219" s="40"/>
      <c r="T219" s="41"/>
      <c r="U219" s="39"/>
      <c r="V219" s="39"/>
      <c r="W219" s="39"/>
    </row>
    <row r="220" spans="3:23" s="37" customFormat="1" ht="12" x14ac:dyDescent="0.2">
      <c r="C220" s="38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41"/>
      <c r="S220" s="40"/>
      <c r="T220" s="41"/>
      <c r="U220" s="39"/>
      <c r="V220" s="39"/>
      <c r="W220" s="39"/>
    </row>
    <row r="221" spans="3:23" s="37" customFormat="1" ht="12" x14ac:dyDescent="0.2">
      <c r="C221" s="38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41"/>
      <c r="S221" s="40"/>
      <c r="T221" s="41"/>
      <c r="U221" s="39"/>
      <c r="V221" s="39"/>
      <c r="W221" s="39"/>
    </row>
    <row r="222" spans="3:23" s="37" customFormat="1" ht="12" x14ac:dyDescent="0.2">
      <c r="C222" s="38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41"/>
      <c r="S222" s="40"/>
      <c r="T222" s="41"/>
      <c r="U222" s="39"/>
      <c r="V222" s="39"/>
      <c r="W222" s="39"/>
    </row>
    <row r="223" spans="3:23" s="37" customFormat="1" ht="12" x14ac:dyDescent="0.2">
      <c r="C223" s="38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41"/>
      <c r="S223" s="40"/>
      <c r="T223" s="41"/>
      <c r="U223" s="39"/>
      <c r="V223" s="39"/>
      <c r="W223" s="39"/>
    </row>
    <row r="224" spans="3:23" s="37" customFormat="1" ht="12" x14ac:dyDescent="0.2">
      <c r="C224" s="38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41"/>
      <c r="S224" s="40"/>
      <c r="T224" s="41"/>
      <c r="U224" s="39"/>
      <c r="V224" s="39"/>
      <c r="W224" s="39"/>
    </row>
    <row r="225" spans="3:23" s="37" customFormat="1" ht="12" x14ac:dyDescent="0.2">
      <c r="C225" s="38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41"/>
      <c r="S225" s="40"/>
      <c r="T225" s="41"/>
      <c r="U225" s="39"/>
      <c r="V225" s="39"/>
      <c r="W225" s="39"/>
    </row>
    <row r="226" spans="3:23" s="37" customFormat="1" ht="12" x14ac:dyDescent="0.2">
      <c r="C226" s="38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41"/>
      <c r="S226" s="40"/>
      <c r="T226" s="41"/>
      <c r="U226" s="39"/>
      <c r="V226" s="39"/>
      <c r="W226" s="39"/>
    </row>
    <row r="227" spans="3:23" s="37" customFormat="1" ht="12" x14ac:dyDescent="0.2">
      <c r="C227" s="38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41"/>
      <c r="S227" s="40"/>
      <c r="T227" s="41"/>
      <c r="U227" s="39"/>
      <c r="V227" s="39"/>
      <c r="W227" s="39"/>
    </row>
    <row r="228" spans="3:23" s="37" customFormat="1" ht="12" x14ac:dyDescent="0.2">
      <c r="C228" s="38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41"/>
      <c r="S228" s="40"/>
      <c r="T228" s="41"/>
      <c r="U228" s="39"/>
      <c r="V228" s="39"/>
      <c r="W228" s="39"/>
    </row>
    <row r="229" spans="3:23" s="37" customFormat="1" ht="12" x14ac:dyDescent="0.2">
      <c r="C229" s="38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41"/>
      <c r="S229" s="40"/>
      <c r="T229" s="41"/>
      <c r="U229" s="39"/>
      <c r="V229" s="39"/>
      <c r="W229" s="39"/>
    </row>
    <row r="230" spans="3:23" s="37" customFormat="1" ht="12" x14ac:dyDescent="0.2">
      <c r="C230" s="38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41"/>
      <c r="S230" s="40"/>
      <c r="T230" s="41"/>
      <c r="U230" s="39"/>
      <c r="V230" s="39"/>
      <c r="W230" s="39"/>
    </row>
    <row r="231" spans="3:23" s="37" customFormat="1" ht="12" x14ac:dyDescent="0.2">
      <c r="C231" s="38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41"/>
      <c r="S231" s="40"/>
      <c r="T231" s="41"/>
      <c r="U231" s="39"/>
      <c r="V231" s="39"/>
      <c r="W231" s="39"/>
    </row>
    <row r="232" spans="3:23" s="37" customFormat="1" ht="12" x14ac:dyDescent="0.2">
      <c r="C232" s="38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41"/>
      <c r="S232" s="40"/>
      <c r="T232" s="41"/>
      <c r="U232" s="39"/>
      <c r="V232" s="39"/>
      <c r="W232" s="39"/>
    </row>
    <row r="233" spans="3:23" s="37" customFormat="1" ht="12" x14ac:dyDescent="0.2">
      <c r="C233" s="38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41"/>
      <c r="S233" s="40"/>
      <c r="T233" s="41"/>
      <c r="U233" s="39"/>
      <c r="V233" s="39"/>
      <c r="W233" s="39"/>
    </row>
    <row r="234" spans="3:23" s="37" customFormat="1" ht="12" x14ac:dyDescent="0.2">
      <c r="C234" s="38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41"/>
      <c r="S234" s="40"/>
      <c r="T234" s="41"/>
      <c r="U234" s="39"/>
      <c r="V234" s="39"/>
      <c r="W234" s="39"/>
    </row>
    <row r="235" spans="3:23" s="37" customFormat="1" ht="12" x14ac:dyDescent="0.2">
      <c r="C235" s="38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41"/>
      <c r="S235" s="40"/>
      <c r="T235" s="41"/>
      <c r="U235" s="39"/>
      <c r="V235" s="39"/>
      <c r="W235" s="39"/>
    </row>
    <row r="236" spans="3:23" s="37" customFormat="1" ht="12" x14ac:dyDescent="0.2">
      <c r="C236" s="38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41"/>
      <c r="S236" s="40"/>
      <c r="T236" s="41"/>
      <c r="U236" s="39"/>
      <c r="V236" s="39"/>
      <c r="W236" s="39"/>
    </row>
    <row r="237" spans="3:23" s="37" customFormat="1" ht="12" x14ac:dyDescent="0.2">
      <c r="C237" s="38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41"/>
      <c r="S237" s="40"/>
      <c r="T237" s="41"/>
      <c r="U237" s="39"/>
      <c r="V237" s="39"/>
      <c r="W237" s="39"/>
    </row>
    <row r="238" spans="3:23" s="37" customFormat="1" ht="12" x14ac:dyDescent="0.2">
      <c r="C238" s="38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41"/>
      <c r="S238" s="40"/>
      <c r="T238" s="41"/>
      <c r="U238" s="39"/>
      <c r="V238" s="39"/>
      <c r="W238" s="39"/>
    </row>
    <row r="239" spans="3:23" s="37" customFormat="1" ht="12" x14ac:dyDescent="0.2">
      <c r="C239" s="38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41"/>
      <c r="S239" s="40"/>
      <c r="T239" s="41"/>
      <c r="U239" s="39"/>
      <c r="V239" s="39"/>
      <c r="W239" s="39"/>
    </row>
    <row r="240" spans="3:23" s="37" customFormat="1" ht="12" x14ac:dyDescent="0.2">
      <c r="C240" s="38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41"/>
      <c r="S240" s="40"/>
      <c r="T240" s="41"/>
      <c r="U240" s="39"/>
      <c r="V240" s="39"/>
      <c r="W240" s="39"/>
    </row>
    <row r="241" spans="3:23" s="37" customFormat="1" ht="12" x14ac:dyDescent="0.2">
      <c r="C241" s="38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41"/>
      <c r="S241" s="40"/>
      <c r="T241" s="41"/>
      <c r="U241" s="39"/>
      <c r="V241" s="39"/>
      <c r="W241" s="39"/>
    </row>
    <row r="242" spans="3:23" s="37" customFormat="1" ht="12" x14ac:dyDescent="0.2">
      <c r="C242" s="38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41"/>
      <c r="S242" s="40"/>
      <c r="T242" s="41"/>
      <c r="U242" s="39"/>
      <c r="V242" s="39"/>
      <c r="W242" s="39"/>
    </row>
    <row r="243" spans="3:23" s="37" customFormat="1" ht="12" x14ac:dyDescent="0.2">
      <c r="C243" s="38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41"/>
      <c r="S243" s="40"/>
      <c r="T243" s="41"/>
      <c r="U243" s="39"/>
      <c r="V243" s="39"/>
      <c r="W243" s="39"/>
    </row>
    <row r="244" spans="3:23" s="37" customFormat="1" ht="12" x14ac:dyDescent="0.2">
      <c r="C244" s="38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41"/>
      <c r="S244" s="40"/>
      <c r="T244" s="41"/>
      <c r="U244" s="39"/>
      <c r="V244" s="39"/>
      <c r="W244" s="39"/>
    </row>
    <row r="245" spans="3:23" s="37" customFormat="1" ht="12" x14ac:dyDescent="0.2">
      <c r="C245" s="38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41"/>
      <c r="S245" s="40"/>
      <c r="T245" s="41"/>
      <c r="U245" s="39"/>
      <c r="V245" s="39"/>
      <c r="W245" s="39"/>
    </row>
    <row r="246" spans="3:23" s="37" customFormat="1" ht="12" x14ac:dyDescent="0.2">
      <c r="C246" s="38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41"/>
      <c r="S246" s="40"/>
      <c r="T246" s="41"/>
      <c r="U246" s="39"/>
      <c r="V246" s="39"/>
      <c r="W246" s="39"/>
    </row>
    <row r="247" spans="3:23" s="37" customFormat="1" ht="12" x14ac:dyDescent="0.2">
      <c r="C247" s="38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41"/>
      <c r="S247" s="40"/>
      <c r="T247" s="41"/>
      <c r="U247" s="39"/>
      <c r="V247" s="39"/>
      <c r="W247" s="39"/>
    </row>
    <row r="248" spans="3:23" s="37" customFormat="1" ht="12" x14ac:dyDescent="0.2">
      <c r="C248" s="38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41"/>
      <c r="S248" s="40"/>
      <c r="T248" s="41"/>
      <c r="U248" s="39"/>
      <c r="V248" s="39"/>
      <c r="W248" s="39"/>
    </row>
    <row r="249" spans="3:23" s="37" customFormat="1" ht="12" x14ac:dyDescent="0.2">
      <c r="C249" s="38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41"/>
      <c r="S249" s="40"/>
      <c r="T249" s="41"/>
      <c r="U249" s="39"/>
      <c r="V249" s="39"/>
      <c r="W249" s="39"/>
    </row>
    <row r="250" spans="3:23" s="37" customFormat="1" ht="12" x14ac:dyDescent="0.2">
      <c r="C250" s="38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41"/>
      <c r="S250" s="40"/>
      <c r="T250" s="41"/>
      <c r="U250" s="39"/>
      <c r="V250" s="39"/>
      <c r="W250" s="39"/>
    </row>
    <row r="251" spans="3:23" s="37" customFormat="1" ht="12" x14ac:dyDescent="0.2">
      <c r="C251" s="38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41"/>
      <c r="S251" s="40"/>
      <c r="T251" s="41"/>
      <c r="U251" s="39"/>
      <c r="V251" s="39"/>
      <c r="W251" s="39"/>
    </row>
    <row r="252" spans="3:23" s="37" customFormat="1" ht="12" x14ac:dyDescent="0.2">
      <c r="C252" s="38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41"/>
      <c r="S252" s="40"/>
      <c r="T252" s="41"/>
      <c r="U252" s="39"/>
      <c r="V252" s="39"/>
      <c r="W252" s="39"/>
    </row>
    <row r="253" spans="3:23" s="37" customFormat="1" ht="12" x14ac:dyDescent="0.2">
      <c r="C253" s="38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41"/>
      <c r="S253" s="40"/>
      <c r="T253" s="41"/>
      <c r="U253" s="39"/>
      <c r="V253" s="39"/>
      <c r="W253" s="39"/>
    </row>
    <row r="254" spans="3:23" s="37" customFormat="1" ht="12" x14ac:dyDescent="0.2">
      <c r="C254" s="38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41"/>
      <c r="S254" s="40"/>
      <c r="T254" s="41"/>
      <c r="U254" s="39"/>
      <c r="V254" s="39"/>
      <c r="W254" s="39"/>
    </row>
    <row r="255" spans="3:23" s="37" customFormat="1" ht="12" x14ac:dyDescent="0.2">
      <c r="C255" s="38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41"/>
      <c r="S255" s="40"/>
      <c r="T255" s="41"/>
      <c r="U255" s="39"/>
      <c r="V255" s="39"/>
      <c r="W255" s="39"/>
    </row>
    <row r="256" spans="3:23" s="37" customFormat="1" ht="12" x14ac:dyDescent="0.2">
      <c r="C256" s="38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41"/>
      <c r="S256" s="40"/>
      <c r="T256" s="41"/>
      <c r="U256" s="39"/>
      <c r="V256" s="39"/>
      <c r="W256" s="39"/>
    </row>
    <row r="257" spans="3:23" s="37" customFormat="1" ht="12" x14ac:dyDescent="0.2">
      <c r="C257" s="38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41"/>
      <c r="S257" s="40"/>
      <c r="T257" s="41"/>
      <c r="U257" s="39"/>
      <c r="V257" s="39"/>
      <c r="W257" s="39"/>
    </row>
    <row r="258" spans="3:23" s="37" customFormat="1" ht="12" x14ac:dyDescent="0.2">
      <c r="C258" s="38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41"/>
      <c r="S258" s="40"/>
      <c r="T258" s="41"/>
      <c r="U258" s="39"/>
      <c r="V258" s="39"/>
      <c r="W258" s="39"/>
    </row>
    <row r="259" spans="3:23" s="37" customFormat="1" ht="12" x14ac:dyDescent="0.2">
      <c r="C259" s="38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41"/>
      <c r="S259" s="40"/>
      <c r="T259" s="41"/>
      <c r="U259" s="39"/>
      <c r="V259" s="39"/>
      <c r="W259" s="39"/>
    </row>
    <row r="260" spans="3:23" s="37" customFormat="1" ht="12" x14ac:dyDescent="0.2">
      <c r="C260" s="38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41"/>
      <c r="S260" s="40"/>
      <c r="T260" s="41"/>
      <c r="U260" s="39"/>
      <c r="V260" s="39"/>
      <c r="W260" s="39"/>
    </row>
    <row r="261" spans="3:23" s="37" customFormat="1" ht="12" x14ac:dyDescent="0.2">
      <c r="C261" s="38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41"/>
      <c r="S261" s="40"/>
      <c r="T261" s="41"/>
      <c r="U261" s="39"/>
      <c r="V261" s="39"/>
      <c r="W261" s="39"/>
    </row>
    <row r="262" spans="3:23" s="37" customFormat="1" ht="12" x14ac:dyDescent="0.2">
      <c r="C262" s="38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41"/>
      <c r="S262" s="40"/>
      <c r="T262" s="41"/>
      <c r="U262" s="39"/>
      <c r="V262" s="39"/>
      <c r="W262" s="39"/>
    </row>
    <row r="263" spans="3:23" s="37" customFormat="1" ht="12" x14ac:dyDescent="0.2">
      <c r="C263" s="38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41"/>
      <c r="S263" s="40"/>
      <c r="T263" s="41"/>
      <c r="U263" s="39"/>
      <c r="V263" s="39"/>
      <c r="W263" s="39"/>
    </row>
    <row r="264" spans="3:23" s="37" customFormat="1" ht="12" x14ac:dyDescent="0.2">
      <c r="C264" s="38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41"/>
      <c r="S264" s="40"/>
      <c r="T264" s="41"/>
      <c r="U264" s="39"/>
      <c r="V264" s="39"/>
      <c r="W264" s="39"/>
    </row>
    <row r="265" spans="3:23" s="37" customFormat="1" ht="12" x14ac:dyDescent="0.2">
      <c r="C265" s="38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41"/>
      <c r="S265" s="40"/>
      <c r="T265" s="41"/>
      <c r="U265" s="39"/>
      <c r="V265" s="39"/>
      <c r="W265" s="39"/>
    </row>
    <row r="266" spans="3:23" s="37" customFormat="1" ht="12" x14ac:dyDescent="0.2">
      <c r="C266" s="38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41"/>
      <c r="S266" s="40"/>
      <c r="T266" s="41"/>
      <c r="U266" s="39"/>
      <c r="V266" s="39"/>
      <c r="W266" s="39"/>
    </row>
    <row r="267" spans="3:23" s="37" customFormat="1" ht="12" x14ac:dyDescent="0.2">
      <c r="C267" s="38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41"/>
      <c r="S267" s="40"/>
      <c r="T267" s="41"/>
      <c r="U267" s="39"/>
      <c r="V267" s="39"/>
      <c r="W267" s="39"/>
    </row>
    <row r="268" spans="3:23" s="37" customFormat="1" ht="12" x14ac:dyDescent="0.2">
      <c r="C268" s="38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41"/>
      <c r="S268" s="40"/>
      <c r="T268" s="41"/>
      <c r="U268" s="39"/>
      <c r="V268" s="39"/>
      <c r="W268" s="39"/>
    </row>
    <row r="269" spans="3:23" s="37" customFormat="1" ht="12" x14ac:dyDescent="0.2">
      <c r="C269" s="38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41"/>
      <c r="S269" s="40"/>
      <c r="T269" s="41"/>
      <c r="U269" s="39"/>
      <c r="V269" s="39"/>
      <c r="W269" s="39"/>
    </row>
    <row r="270" spans="3:23" s="37" customFormat="1" ht="12" x14ac:dyDescent="0.2">
      <c r="C270" s="38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41"/>
      <c r="S270" s="40"/>
      <c r="T270" s="41"/>
      <c r="U270" s="39"/>
      <c r="V270" s="39"/>
      <c r="W270" s="39"/>
    </row>
    <row r="271" spans="3:23" s="37" customFormat="1" ht="12" x14ac:dyDescent="0.2">
      <c r="C271" s="38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41"/>
      <c r="S271" s="40"/>
      <c r="T271" s="41"/>
      <c r="U271" s="39"/>
      <c r="V271" s="39"/>
      <c r="W271" s="39"/>
    </row>
    <row r="272" spans="3:23" s="37" customFormat="1" ht="12" x14ac:dyDescent="0.2">
      <c r="C272" s="38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41"/>
      <c r="S272" s="40"/>
      <c r="T272" s="41"/>
      <c r="U272" s="39"/>
      <c r="V272" s="39"/>
      <c r="W272" s="39"/>
    </row>
    <row r="273" spans="3:23" s="37" customFormat="1" ht="12" x14ac:dyDescent="0.2">
      <c r="C273" s="38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41"/>
      <c r="S273" s="40"/>
      <c r="T273" s="41"/>
      <c r="U273" s="39"/>
      <c r="V273" s="39"/>
      <c r="W273" s="39"/>
    </row>
    <row r="274" spans="3:23" s="37" customFormat="1" ht="12" x14ac:dyDescent="0.2">
      <c r="C274" s="38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41"/>
      <c r="S274" s="40"/>
      <c r="T274" s="41"/>
      <c r="U274" s="39"/>
      <c r="V274" s="39"/>
      <c r="W274" s="39"/>
    </row>
    <row r="275" spans="3:23" s="37" customFormat="1" ht="12" x14ac:dyDescent="0.2">
      <c r="C275" s="38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41"/>
      <c r="S275" s="40"/>
      <c r="T275" s="41"/>
      <c r="U275" s="39"/>
      <c r="V275" s="39"/>
      <c r="W275" s="39"/>
    </row>
    <row r="276" spans="3:23" s="37" customFormat="1" ht="12" x14ac:dyDescent="0.2">
      <c r="C276" s="38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41"/>
      <c r="S276" s="40"/>
      <c r="T276" s="41"/>
      <c r="U276" s="39"/>
      <c r="V276" s="39"/>
      <c r="W276" s="39"/>
    </row>
    <row r="277" spans="3:23" x14ac:dyDescent="0.25"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R277" s="27"/>
      <c r="S277" s="23"/>
      <c r="T277" s="27"/>
      <c r="U277" s="22"/>
      <c r="V277" s="22"/>
      <c r="W277" s="22"/>
    </row>
  </sheetData>
  <sheetProtection algorithmName="SHA-512" hashValue="G2bwB0UGVTe1hq8W6Z6XilLp7wW9XQnfm/x2V3UpiRABOS2qXK1qxxh+Pz4Qpt+YSG/Y/L8z0IF5yEujvETjpA==" saltValue="q8Il+N6/KAOSVgVMuNxlvQ==" spinCount="100000" sheet="1" objects="1" scenarios="1" selectLockedCells="1"/>
  <pageMargins left="0.7" right="0.7" top="0.75" bottom="0.75" header="0.3" footer="0.3"/>
  <pageSetup orientation="portrait" horizontalDpi="1200" verticalDpi="12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1"/>
  </sheetPr>
  <dimension ref="A1:W277"/>
  <sheetViews>
    <sheetView workbookViewId="0">
      <selection sqref="A1:XFD1048576"/>
    </sheetView>
  </sheetViews>
  <sheetFormatPr defaultColWidth="8.85546875" defaultRowHeight="15" x14ac:dyDescent="0.25"/>
  <cols>
    <col min="1" max="2" width="3.140625" style="14" customWidth="1"/>
    <col min="3" max="3" width="7.85546875" style="20" customWidth="1"/>
    <col min="4" max="4" width="31.85546875" style="14" customWidth="1"/>
    <col min="5" max="16" width="8.85546875" style="14"/>
    <col min="17" max="17" width="8.85546875" style="22"/>
    <col min="18" max="18" width="2.140625" style="28" customWidth="1"/>
    <col min="19" max="19" width="8.85546875" style="21"/>
    <col min="20" max="20" width="2.140625" style="28" customWidth="1"/>
    <col min="21" max="16384" width="8.85546875" style="14"/>
  </cols>
  <sheetData>
    <row r="1" spans="1:23" s="1" customFormat="1" ht="21" x14ac:dyDescent="0.35">
      <c r="A1" s="11" t="str">
        <f>'Rev &amp; Enroll'!$F$5</f>
        <v>Nevada State High School (CSO)</v>
      </c>
      <c r="B1" s="11"/>
      <c r="C1" s="17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4"/>
      <c r="R1" s="24"/>
      <c r="S1" s="3"/>
      <c r="T1" s="29"/>
      <c r="U1" s="2"/>
      <c r="V1" s="2"/>
    </row>
    <row r="2" spans="1:23" s="1" customFormat="1" x14ac:dyDescent="0.25">
      <c r="A2" s="12" t="str">
        <f>CONCATENATE("Monthly Cash Flow/Budget"," ",MYP!I4)</f>
        <v>Monthly Cash Flow/Budget FY23</v>
      </c>
      <c r="B2" s="12"/>
      <c r="C2" s="17"/>
      <c r="D2" s="13"/>
      <c r="E2" s="2"/>
      <c r="F2" s="2"/>
      <c r="G2" s="2"/>
      <c r="H2" s="2"/>
      <c r="I2" s="2"/>
      <c r="J2" s="2"/>
      <c r="M2" s="2"/>
      <c r="N2" s="2"/>
      <c r="O2" s="2"/>
      <c r="Q2" s="8"/>
      <c r="R2" s="25"/>
      <c r="S2" s="2"/>
      <c r="T2" s="29"/>
      <c r="U2" s="4"/>
      <c r="V2" s="4"/>
    </row>
    <row r="3" spans="1:23" s="6" customFormat="1" ht="13.5" customHeight="1" x14ac:dyDescent="0.2">
      <c r="A3" s="5">
        <f>'FY21'!E4+(365*2)</f>
        <v>44743</v>
      </c>
      <c r="B3" s="5"/>
      <c r="C3" s="1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8"/>
      <c r="R3" s="25"/>
      <c r="S3" s="7"/>
      <c r="T3" s="31"/>
      <c r="U3" s="7"/>
      <c r="V3" s="7"/>
    </row>
    <row r="4" spans="1:23" s="9" customFormat="1" ht="29.45" customHeight="1" x14ac:dyDescent="0.25">
      <c r="C4" s="19"/>
      <c r="D4" s="10"/>
      <c r="E4" s="33">
        <f>'FY21'!E4+(365*2)</f>
        <v>44743</v>
      </c>
      <c r="F4" s="33">
        <f t="shared" ref="F4:P4" si="0">E4+31</f>
        <v>44774</v>
      </c>
      <c r="G4" s="33">
        <f t="shared" si="0"/>
        <v>44805</v>
      </c>
      <c r="H4" s="33">
        <f t="shared" si="0"/>
        <v>44836</v>
      </c>
      <c r="I4" s="33">
        <f t="shared" si="0"/>
        <v>44867</v>
      </c>
      <c r="J4" s="33">
        <f t="shared" si="0"/>
        <v>44898</v>
      </c>
      <c r="K4" s="33">
        <f t="shared" si="0"/>
        <v>44929</v>
      </c>
      <c r="L4" s="33">
        <f t="shared" si="0"/>
        <v>44960</v>
      </c>
      <c r="M4" s="33">
        <f t="shared" si="0"/>
        <v>44991</v>
      </c>
      <c r="N4" s="33">
        <f t="shared" si="0"/>
        <v>45022</v>
      </c>
      <c r="O4" s="33">
        <f t="shared" si="0"/>
        <v>45053</v>
      </c>
      <c r="P4" s="56">
        <f t="shared" si="0"/>
        <v>45084</v>
      </c>
      <c r="Q4" s="35" t="s">
        <v>54</v>
      </c>
      <c r="R4" s="26"/>
      <c r="S4" s="58" t="s">
        <v>55</v>
      </c>
      <c r="T4" s="32"/>
      <c r="U4" s="33" t="s">
        <v>57</v>
      </c>
      <c r="V4" s="33" t="s">
        <v>56</v>
      </c>
    </row>
    <row r="5" spans="1:23" s="9" customFormat="1" ht="12" x14ac:dyDescent="0.2">
      <c r="C5" s="19"/>
      <c r="D5" s="207" t="s">
        <v>184</v>
      </c>
      <c r="E5" s="323">
        <f>IF(('Rev &amp; Enroll'!$F37*'Rev &amp; Enroll'!$F24)&gt;500000,0.08333,0)</f>
        <v>8.3330000000000001E-2</v>
      </c>
      <c r="F5" s="323">
        <f>IF(('Rev &amp; Enroll'!$F37*'Rev &amp; Enroll'!$F24)&gt;500000,0.08333,0.25)</f>
        <v>8.3330000000000001E-2</v>
      </c>
      <c r="G5" s="323">
        <f>IF(('Rev &amp; Enroll'!$F37*'Rev &amp; Enroll'!$F24)&gt;500000,0.08333,0)</f>
        <v>8.3330000000000001E-2</v>
      </c>
      <c r="H5" s="323">
        <f>IF(('Rev &amp; Enroll'!$F37*'Rev &amp; Enroll'!$F24)&gt;500000,0.08333,0)</f>
        <v>8.3330000000000001E-2</v>
      </c>
      <c r="I5" s="323">
        <f>IF(('Rev &amp; Enroll'!$F37*'Rev &amp; Enroll'!$F24)&gt;500000,0.08333,0.25)</f>
        <v>8.3330000000000001E-2</v>
      </c>
      <c r="J5" s="323">
        <f>IF(('Rev &amp; Enroll'!$F37*'Rev &amp; Enroll'!$F24)&gt;500000,0.08333,0)</f>
        <v>8.3330000000000001E-2</v>
      </c>
      <c r="K5" s="323">
        <f>IF(('Rev &amp; Enroll'!$F37*'Rev &amp; Enroll'!$F24)&gt;500000,0.08333,0)</f>
        <v>8.3330000000000001E-2</v>
      </c>
      <c r="L5" s="323">
        <f>IF(('Rev &amp; Enroll'!$F37*'Rev &amp; Enroll'!$F24)&gt;500000,0.08333,0.25)</f>
        <v>8.3330000000000001E-2</v>
      </c>
      <c r="M5" s="323">
        <f>IF(('Rev &amp; Enroll'!$F37*'Rev &amp; Enroll'!$F24)&gt;500000,0.08333,0)</f>
        <v>8.3330000000000001E-2</v>
      </c>
      <c r="N5" s="323">
        <f>IF(('Rev &amp; Enroll'!$F37*'Rev &amp; Enroll'!$F24)&gt;500000,0.08333,0)</f>
        <v>8.3330000000000001E-2</v>
      </c>
      <c r="O5" s="323">
        <f>IF(('Rev &amp; Enroll'!$F37*'Rev &amp; Enroll'!$F24)&gt;500000,0.08333,0.25)</f>
        <v>8.3330000000000001E-2</v>
      </c>
      <c r="P5" s="323">
        <f>IF(('Rev &amp; Enroll'!$F37*'Rev &amp; Enroll'!$F24)&gt;500000,0.08333,0)</f>
        <v>8.3330000000000001E-2</v>
      </c>
      <c r="Q5" s="221">
        <f>1-SUM(E5:P5)</f>
        <v>3.9999999999928981E-5</v>
      </c>
      <c r="R5" s="41"/>
      <c r="S5" s="59"/>
      <c r="T5" s="41"/>
      <c r="U5" s="39"/>
      <c r="V5" s="39"/>
      <c r="W5" s="32"/>
    </row>
    <row r="6" spans="1:23" s="37" customFormat="1" ht="11.45" customHeight="1" x14ac:dyDescent="0.2">
      <c r="A6" s="45" t="s">
        <v>58</v>
      </c>
      <c r="C6" s="38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6"/>
      <c r="R6" s="41"/>
      <c r="S6" s="59"/>
      <c r="T6" s="41"/>
      <c r="U6" s="39"/>
      <c r="V6" s="39"/>
      <c r="W6" s="39"/>
    </row>
    <row r="7" spans="1:23" s="37" customFormat="1" ht="12" x14ac:dyDescent="0.2">
      <c r="A7" s="45"/>
      <c r="C7" s="49" t="s">
        <v>171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6"/>
      <c r="R7" s="41"/>
      <c r="S7" s="59"/>
      <c r="T7" s="41"/>
      <c r="U7" s="39"/>
      <c r="V7" s="39"/>
      <c r="W7" s="39"/>
    </row>
    <row r="8" spans="1:23" s="37" customFormat="1" ht="12" x14ac:dyDescent="0.2">
      <c r="A8" s="45"/>
      <c r="C8" s="199">
        <v>1110</v>
      </c>
      <c r="D8" s="37" t="s">
        <v>0</v>
      </c>
      <c r="E8" s="180">
        <f>+'FY22'!E8*(1+MYP!$I$8)</f>
        <v>46436.734669168807</v>
      </c>
      <c r="F8" s="180">
        <f>+'FY22'!F8*(1+MYP!$I$8)</f>
        <v>46436.734669168807</v>
      </c>
      <c r="G8" s="180">
        <f>+'FY22'!G8*(1+MYP!$I$8)</f>
        <v>46436.734669168807</v>
      </c>
      <c r="H8" s="180">
        <f>+'FY22'!H8*(1+MYP!$I$8)</f>
        <v>46436.734669168807</v>
      </c>
      <c r="I8" s="180">
        <f>+'FY22'!I8*(1+MYP!$I$8)</f>
        <v>46436.734669168807</v>
      </c>
      <c r="J8" s="180">
        <f>+'FY22'!J8*(1+MYP!$I$8)</f>
        <v>46436.734669168807</v>
      </c>
      <c r="K8" s="180">
        <f>+'FY22'!K8*(1+MYP!$I$8)</f>
        <v>46436.734669168807</v>
      </c>
      <c r="L8" s="180">
        <f>+'FY22'!L8*(1+MYP!$I$8)</f>
        <v>46436.734669168807</v>
      </c>
      <c r="M8" s="180">
        <f>+'FY22'!M8*(1+MYP!$I$8)</f>
        <v>46436.734669168807</v>
      </c>
      <c r="N8" s="180">
        <f>+'FY22'!N8*(1+MYP!$I$8)</f>
        <v>46436.734669168807</v>
      </c>
      <c r="O8" s="180">
        <f>+'FY22'!O8*(1+MYP!$I$8)</f>
        <v>46436.734669168807</v>
      </c>
      <c r="P8" s="180">
        <f>+'FY22'!P8*(1+MYP!$I$8)</f>
        <v>46434.877199782044</v>
      </c>
      <c r="Q8" s="185"/>
      <c r="R8" s="186"/>
      <c r="S8" s="187">
        <f>SUM(E8:Q8)</f>
        <v>557238.95856063906</v>
      </c>
      <c r="T8" s="186"/>
      <c r="U8" s="180">
        <f>'FY22'!S8</f>
        <v>516002.75358508807</v>
      </c>
      <c r="V8" s="180">
        <f t="shared" ref="V8:V20" si="1">S8-U8</f>
        <v>41236.204975550994</v>
      </c>
      <c r="W8" s="39"/>
    </row>
    <row r="9" spans="1:23" s="37" customFormat="1" ht="12" x14ac:dyDescent="0.2">
      <c r="A9" s="45"/>
      <c r="C9" s="199">
        <v>1120</v>
      </c>
      <c r="D9" s="37" t="s">
        <v>1</v>
      </c>
      <c r="E9" s="362">
        <f>+'FY22'!E9*(1+MYP!$I$8)</f>
        <v>51010.049447193</v>
      </c>
      <c r="F9" s="362">
        <f>+'FY22'!F9*(1+MYP!$I$8)</f>
        <v>51010.049447193</v>
      </c>
      <c r="G9" s="362">
        <f>+'FY22'!G9*(1+MYP!$I$8)</f>
        <v>51010.049447193</v>
      </c>
      <c r="H9" s="362">
        <f>+'FY22'!H9*(1+MYP!$I$8)</f>
        <v>51010.049447193</v>
      </c>
      <c r="I9" s="362">
        <f>+'FY22'!I9*(1+MYP!$I$8)</f>
        <v>51010.049447193</v>
      </c>
      <c r="J9" s="362">
        <f>+'FY22'!J9*(1+MYP!$I$8)</f>
        <v>51010.049447193</v>
      </c>
      <c r="K9" s="362">
        <f>+'FY22'!K9*(1+MYP!$I$8)</f>
        <v>51010.049447193</v>
      </c>
      <c r="L9" s="362">
        <f>+'FY22'!L9*(1+MYP!$I$8)</f>
        <v>51010.049447193</v>
      </c>
      <c r="M9" s="362">
        <f>+'FY22'!M9*(1+MYP!$I$8)</f>
        <v>51010.049447193</v>
      </c>
      <c r="N9" s="362">
        <f>+'FY22'!N9*(1+MYP!$I$8)</f>
        <v>51010.049447193</v>
      </c>
      <c r="O9" s="362">
        <f>+'FY22'!O9*(1+MYP!$I$8)</f>
        <v>51010.049447193</v>
      </c>
      <c r="P9" s="362">
        <f>+'FY22'!P9*(1+MYP!$I$8)</f>
        <v>51008.009045215113</v>
      </c>
      <c r="Q9" s="36"/>
      <c r="R9" s="41"/>
      <c r="S9" s="59">
        <f t="shared" ref="S9:S20" si="2">SUM(E9:Q9)</f>
        <v>612118.55296433799</v>
      </c>
      <c r="T9" s="41"/>
      <c r="U9" s="39">
        <f>'FY22'!S9</f>
        <v>566821.20658967982</v>
      </c>
      <c r="V9" s="39">
        <f t="shared" si="1"/>
        <v>45297.346374658169</v>
      </c>
      <c r="W9" s="39"/>
    </row>
    <row r="10" spans="1:23" s="37" customFormat="1" ht="12" x14ac:dyDescent="0.2">
      <c r="A10" s="45"/>
      <c r="C10" s="199">
        <v>1191</v>
      </c>
      <c r="D10" s="37" t="s">
        <v>2</v>
      </c>
      <c r="E10" s="362">
        <f>+'FY22'!E10*(1+MYP!$I$8)</f>
        <v>175.89672223170004</v>
      </c>
      <c r="F10" s="362">
        <f>+'FY22'!F10*(1+MYP!$I$8)</f>
        <v>175.89672223170004</v>
      </c>
      <c r="G10" s="362">
        <f>+'FY22'!G10*(1+MYP!$I$8)</f>
        <v>175.89672223170004</v>
      </c>
      <c r="H10" s="362">
        <f>+'FY22'!H10*(1+MYP!$I$8)</f>
        <v>175.89672223170004</v>
      </c>
      <c r="I10" s="362">
        <f>+'FY22'!I10*(1+MYP!$I$8)</f>
        <v>175.89672223170004</v>
      </c>
      <c r="J10" s="362">
        <f>+'FY22'!J10*(1+MYP!$I$8)</f>
        <v>175.89672223170004</v>
      </c>
      <c r="K10" s="362">
        <f>+'FY22'!K10*(1+MYP!$I$8)</f>
        <v>175.89672223170004</v>
      </c>
      <c r="L10" s="362">
        <f>+'FY22'!L10*(1+MYP!$I$8)</f>
        <v>175.89672223170004</v>
      </c>
      <c r="M10" s="362">
        <f>+'FY22'!M10*(1+MYP!$I$8)</f>
        <v>175.89672223170004</v>
      </c>
      <c r="N10" s="362">
        <f>+'FY22'!N10*(1+MYP!$I$8)</f>
        <v>175.89672223170004</v>
      </c>
      <c r="O10" s="362">
        <f>+'FY22'!O10*(1+MYP!$I$8)</f>
        <v>175.89672223170004</v>
      </c>
      <c r="P10" s="362">
        <f>+'FY22'!P10*(1+MYP!$I$8)</f>
        <v>175.88968636281078</v>
      </c>
      <c r="Q10" s="36"/>
      <c r="R10" s="41"/>
      <c r="S10" s="59">
        <f t="shared" si="2"/>
        <v>2110.7536309115117</v>
      </c>
      <c r="T10" s="41"/>
      <c r="U10" s="39">
        <f>'FY22'!S10</f>
        <v>1954.5558847920004</v>
      </c>
      <c r="V10" s="39">
        <f t="shared" si="1"/>
        <v>156.19774611951129</v>
      </c>
      <c r="W10" s="39"/>
    </row>
    <row r="11" spans="1:23" s="37" customFormat="1" ht="12" x14ac:dyDescent="0.2">
      <c r="A11" s="45"/>
      <c r="C11" s="199">
        <v>1192</v>
      </c>
      <c r="D11" s="37" t="s">
        <v>3</v>
      </c>
      <c r="E11" s="362">
        <f>+'FY22'!E11*(1+MYP!$I$8)</f>
        <v>5452.7983891827007</v>
      </c>
      <c r="F11" s="362">
        <f>+'FY22'!F11*(1+MYP!$I$8)</f>
        <v>5452.7983891827007</v>
      </c>
      <c r="G11" s="362">
        <f>+'FY22'!G11*(1+MYP!$I$8)</f>
        <v>5452.7983891827007</v>
      </c>
      <c r="H11" s="362">
        <f>+'FY22'!H11*(1+MYP!$I$8)</f>
        <v>5452.7983891827007</v>
      </c>
      <c r="I11" s="362">
        <f>+'FY22'!I11*(1+MYP!$I$8)</f>
        <v>5452.7983891827007</v>
      </c>
      <c r="J11" s="362">
        <f>+'FY22'!J11*(1+MYP!$I$8)</f>
        <v>5452.7983891827007</v>
      </c>
      <c r="K11" s="362">
        <f>+'FY22'!K11*(1+MYP!$I$8)</f>
        <v>5452.7983891827007</v>
      </c>
      <c r="L11" s="362">
        <f>+'FY22'!L11*(1+MYP!$I$8)</f>
        <v>5452.7983891827007</v>
      </c>
      <c r="M11" s="362">
        <f>+'FY22'!M11*(1+MYP!$I$8)</f>
        <v>5452.7983891827007</v>
      </c>
      <c r="N11" s="362">
        <f>+'FY22'!N11*(1+MYP!$I$8)</f>
        <v>5452.7983891827007</v>
      </c>
      <c r="O11" s="362">
        <f>+'FY22'!O11*(1+MYP!$I$8)</f>
        <v>5452.7983891827007</v>
      </c>
      <c r="P11" s="362">
        <f>+'FY22'!P11*(1+MYP!$I$8)</f>
        <v>5452.5802772471325</v>
      </c>
      <c r="Q11" s="98"/>
      <c r="R11" s="41"/>
      <c r="S11" s="59">
        <f t="shared" si="2"/>
        <v>65433.362558256849</v>
      </c>
      <c r="T11" s="41"/>
      <c r="U11" s="39">
        <f>'FY22'!S11</f>
        <v>60591.232428552001</v>
      </c>
      <c r="V11" s="39">
        <f t="shared" si="1"/>
        <v>4842.1301297048485</v>
      </c>
      <c r="W11" s="39"/>
    </row>
    <row r="12" spans="1:23" s="37" customFormat="1" ht="12" x14ac:dyDescent="0.2">
      <c r="A12" s="45"/>
      <c r="C12" s="199">
        <v>3110</v>
      </c>
      <c r="D12" s="37" t="s">
        <v>73</v>
      </c>
      <c r="E12" s="362">
        <f>+'FY22'!E12*(1+MYP!$I$8)</f>
        <v>72821.24300392381</v>
      </c>
      <c r="F12" s="362">
        <f>+'FY22'!F12*(1+MYP!$I$8)</f>
        <v>72821.24300392381</v>
      </c>
      <c r="G12" s="362">
        <f>+'FY22'!G12*(1+MYP!$I$8)</f>
        <v>72821.24300392381</v>
      </c>
      <c r="H12" s="362">
        <f>+'FY22'!H12*(1+MYP!$I$8)</f>
        <v>72821.24300392381</v>
      </c>
      <c r="I12" s="362">
        <f>+'FY22'!I12*(1+MYP!$I$8)</f>
        <v>72821.24300392381</v>
      </c>
      <c r="J12" s="362">
        <f>+'FY22'!J12*(1+MYP!$I$8)</f>
        <v>72821.24300392381</v>
      </c>
      <c r="K12" s="362">
        <f>+'FY22'!K12*(1+MYP!$I$8)</f>
        <v>72821.24300392381</v>
      </c>
      <c r="L12" s="362">
        <f>+'FY22'!L12*(1+MYP!$I$8)</f>
        <v>72821.24300392381</v>
      </c>
      <c r="M12" s="362">
        <f>+'FY22'!M12*(1+MYP!$I$8)</f>
        <v>72821.24300392381</v>
      </c>
      <c r="N12" s="362">
        <f>+'FY22'!N12*(1+MYP!$I$8)</f>
        <v>72821.24300392381</v>
      </c>
      <c r="O12" s="362">
        <f>+'FY22'!O12*(1+MYP!$I$8)</f>
        <v>72821.24300392381</v>
      </c>
      <c r="P12" s="362">
        <f>+'FY22'!P12*(1+MYP!$I$8)</f>
        <v>72818.33015420365</v>
      </c>
      <c r="Q12" s="98"/>
      <c r="R12" s="41"/>
      <c r="S12" s="59">
        <f t="shared" si="2"/>
        <v>873852.00319736556</v>
      </c>
      <c r="T12" s="41"/>
      <c r="U12" s="39">
        <f>'FY22'!S12</f>
        <v>809186.13630388805</v>
      </c>
      <c r="V12" s="39">
        <f t="shared" si="1"/>
        <v>64665.866893477505</v>
      </c>
      <c r="W12" s="39"/>
    </row>
    <row r="13" spans="1:23" s="37" customFormat="1" ht="12" x14ac:dyDescent="0.2">
      <c r="A13" s="45"/>
      <c r="C13" s="38"/>
      <c r="E13" s="50">
        <f>SUBTOTAL(9,E8:E12)</f>
        <v>175896.72223170003</v>
      </c>
      <c r="F13" s="50">
        <f t="shared" ref="F13:S13" si="3">SUBTOTAL(9,F8:F12)</f>
        <v>175896.72223170003</v>
      </c>
      <c r="G13" s="50">
        <f t="shared" si="3"/>
        <v>175896.72223170003</v>
      </c>
      <c r="H13" s="50">
        <f t="shared" si="3"/>
        <v>175896.72223170003</v>
      </c>
      <c r="I13" s="50">
        <f t="shared" si="3"/>
        <v>175896.72223170003</v>
      </c>
      <c r="J13" s="50">
        <f t="shared" si="3"/>
        <v>175896.72223170003</v>
      </c>
      <c r="K13" s="50">
        <f t="shared" si="3"/>
        <v>175896.72223170003</v>
      </c>
      <c r="L13" s="50">
        <f t="shared" si="3"/>
        <v>175896.72223170003</v>
      </c>
      <c r="M13" s="50">
        <f t="shared" si="3"/>
        <v>175896.72223170003</v>
      </c>
      <c r="N13" s="50">
        <f t="shared" si="3"/>
        <v>175896.72223170003</v>
      </c>
      <c r="O13" s="50">
        <f t="shared" si="3"/>
        <v>175896.72223170003</v>
      </c>
      <c r="P13" s="50">
        <f t="shared" si="3"/>
        <v>175889.68636281075</v>
      </c>
      <c r="Q13" s="99"/>
      <c r="R13" s="41"/>
      <c r="S13" s="61">
        <f t="shared" si="3"/>
        <v>2110753.6309115109</v>
      </c>
      <c r="T13" s="41"/>
      <c r="U13" s="50">
        <f t="shared" ref="U13" si="4">SUBTOTAL(9,U8:U12)</f>
        <v>1954555.8847920001</v>
      </c>
      <c r="V13" s="50">
        <f t="shared" ref="V13" si="5">SUBTOTAL(9,V8:V12)</f>
        <v>156197.74611951102</v>
      </c>
      <c r="W13" s="39"/>
    </row>
    <row r="14" spans="1:23" s="37" customFormat="1" ht="12" x14ac:dyDescent="0.2">
      <c r="A14" s="45"/>
      <c r="C14" s="49" t="s">
        <v>170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98"/>
      <c r="R14" s="41"/>
      <c r="S14" s="59"/>
      <c r="T14" s="41"/>
      <c r="U14" s="39"/>
      <c r="V14" s="39"/>
      <c r="W14" s="39"/>
    </row>
    <row r="15" spans="1:23" s="37" customFormat="1" ht="12" x14ac:dyDescent="0.2">
      <c r="A15" s="45"/>
      <c r="C15" s="199">
        <v>3115</v>
      </c>
      <c r="D15" s="37" t="s">
        <v>5</v>
      </c>
      <c r="E15" s="362">
        <f>+'FY22'!E15*(1+MYP!$I$8)</f>
        <v>0</v>
      </c>
      <c r="F15" s="362">
        <f>+'FY22'!F15*(1+MYP!$I$8)</f>
        <v>0</v>
      </c>
      <c r="G15" s="362">
        <f>+'FY22'!G15*(1+MYP!$I$8)</f>
        <v>0</v>
      </c>
      <c r="H15" s="362">
        <f>+'FY22'!H15*(1+MYP!$I$8)</f>
        <v>0</v>
      </c>
      <c r="I15" s="362">
        <f>+'FY22'!I15*(1+MYP!$I$8)</f>
        <v>0</v>
      </c>
      <c r="J15" s="362">
        <f>+'FY22'!J15*(1+MYP!$I$8)</f>
        <v>0</v>
      </c>
      <c r="K15" s="362">
        <f>+'FY22'!K15*(1+MYP!$I$8)</f>
        <v>0</v>
      </c>
      <c r="L15" s="362">
        <f>+'FY22'!L15*(1+MYP!$I$8)</f>
        <v>0</v>
      </c>
      <c r="M15" s="362">
        <f>+'FY22'!M15*(1+MYP!$I$8)</f>
        <v>0</v>
      </c>
      <c r="N15" s="362">
        <f>+'FY22'!N15*(1+MYP!$I$8)</f>
        <v>0</v>
      </c>
      <c r="O15" s="362">
        <f>+'FY22'!O15*(1+MYP!$I$8)</f>
        <v>0</v>
      </c>
      <c r="P15" s="362">
        <f>+'FY22'!P15*(1+MYP!$I$8)</f>
        <v>0</v>
      </c>
      <c r="Q15" s="100"/>
      <c r="R15" s="41"/>
      <c r="S15" s="59">
        <f t="shared" si="2"/>
        <v>0</v>
      </c>
      <c r="T15" s="41"/>
      <c r="U15" s="39">
        <f>'FY22'!S15</f>
        <v>0</v>
      </c>
      <c r="V15" s="39">
        <f t="shared" si="1"/>
        <v>0</v>
      </c>
      <c r="W15" s="39"/>
    </row>
    <row r="16" spans="1:23" s="37" customFormat="1" ht="12" x14ac:dyDescent="0.2">
      <c r="A16" s="45"/>
      <c r="C16" s="199">
        <v>3200</v>
      </c>
      <c r="D16" s="37" t="s">
        <v>6</v>
      </c>
      <c r="E16" s="362">
        <f>+'FY22'!E16*(1+MYP!$I$8)</f>
        <v>0</v>
      </c>
      <c r="F16" s="362">
        <f>+'FY22'!F16*(1+MYP!$I$8)</f>
        <v>0</v>
      </c>
      <c r="G16" s="362">
        <f>+'FY22'!G16*(1+MYP!$I$8)</f>
        <v>0</v>
      </c>
      <c r="H16" s="362">
        <f>+'FY22'!H16*(1+MYP!$I$8)</f>
        <v>0</v>
      </c>
      <c r="I16" s="362">
        <f>+'FY22'!I16*(1+MYP!$I$8)</f>
        <v>0</v>
      </c>
      <c r="J16" s="362">
        <f>+'FY22'!J16*(1+MYP!$I$8)</f>
        <v>0</v>
      </c>
      <c r="K16" s="362">
        <f>+'FY22'!K16*(1+MYP!$I$8)</f>
        <v>0</v>
      </c>
      <c r="L16" s="362">
        <f>+'FY22'!L16*(1+MYP!$I$8)</f>
        <v>0</v>
      </c>
      <c r="M16" s="362">
        <f>+'FY22'!M16*(1+MYP!$I$8)</f>
        <v>0</v>
      </c>
      <c r="N16" s="362">
        <f>+'FY22'!N16*(1+MYP!$I$8)</f>
        <v>0</v>
      </c>
      <c r="O16" s="362">
        <f>+'FY22'!O16*(1+MYP!$I$8)</f>
        <v>0</v>
      </c>
      <c r="P16" s="362">
        <f>+'FY22'!P16*(1+MYP!$I$8)</f>
        <v>0</v>
      </c>
      <c r="Q16" s="100"/>
      <c r="R16" s="41"/>
      <c r="S16" s="59">
        <f t="shared" si="2"/>
        <v>0</v>
      </c>
      <c r="T16" s="41"/>
      <c r="U16" s="39">
        <f>'FY22'!S16</f>
        <v>0</v>
      </c>
      <c r="V16" s="39">
        <f t="shared" si="1"/>
        <v>0</v>
      </c>
      <c r="W16" s="39"/>
    </row>
    <row r="17" spans="1:23" s="37" customFormat="1" ht="12" x14ac:dyDescent="0.2">
      <c r="A17" s="45"/>
      <c r="C17" s="38"/>
      <c r="E17" s="50">
        <f>SUBTOTAL(9,E15:E16)</f>
        <v>0</v>
      </c>
      <c r="F17" s="50">
        <f t="shared" ref="F17:V17" si="6">SUBTOTAL(9,F15:F16)</f>
        <v>0</v>
      </c>
      <c r="G17" s="50">
        <f t="shared" si="6"/>
        <v>0</v>
      </c>
      <c r="H17" s="50">
        <f t="shared" si="6"/>
        <v>0</v>
      </c>
      <c r="I17" s="50">
        <f t="shared" si="6"/>
        <v>0</v>
      </c>
      <c r="J17" s="50">
        <f t="shared" si="6"/>
        <v>0</v>
      </c>
      <c r="K17" s="50">
        <f t="shared" si="6"/>
        <v>0</v>
      </c>
      <c r="L17" s="50">
        <f t="shared" si="6"/>
        <v>0</v>
      </c>
      <c r="M17" s="50">
        <f t="shared" si="6"/>
        <v>0</v>
      </c>
      <c r="N17" s="50">
        <f t="shared" si="6"/>
        <v>0</v>
      </c>
      <c r="O17" s="50">
        <f t="shared" si="6"/>
        <v>0</v>
      </c>
      <c r="P17" s="50">
        <f t="shared" si="6"/>
        <v>0</v>
      </c>
      <c r="Q17" s="99"/>
      <c r="R17" s="41"/>
      <c r="S17" s="61">
        <f t="shared" si="6"/>
        <v>0</v>
      </c>
      <c r="T17" s="41"/>
      <c r="U17" s="50">
        <f t="shared" si="6"/>
        <v>0</v>
      </c>
      <c r="V17" s="50">
        <f t="shared" si="6"/>
        <v>0</v>
      </c>
      <c r="W17" s="39"/>
    </row>
    <row r="18" spans="1:23" s="37" customFormat="1" ht="12" x14ac:dyDescent="0.2">
      <c r="A18" s="45"/>
      <c r="C18" s="49" t="s">
        <v>149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100"/>
      <c r="R18" s="41"/>
      <c r="S18" s="59"/>
      <c r="T18" s="41"/>
      <c r="U18" s="39"/>
      <c r="V18" s="39"/>
      <c r="W18" s="39"/>
    </row>
    <row r="19" spans="1:23" s="37" customFormat="1" ht="12" x14ac:dyDescent="0.2">
      <c r="A19" s="45"/>
      <c r="C19" s="199">
        <v>4500</v>
      </c>
      <c r="D19" s="37" t="s">
        <v>6</v>
      </c>
      <c r="E19" s="362">
        <f>+'FY22'!E19*(1+MYP!$I$8)</f>
        <v>0</v>
      </c>
      <c r="F19" s="362">
        <f>+'FY22'!F19*(1+MYP!$I$8)</f>
        <v>0</v>
      </c>
      <c r="G19" s="362">
        <f>+'FY22'!G19*(1+MYP!$I$8)</f>
        <v>0</v>
      </c>
      <c r="H19" s="362">
        <f>+'FY22'!H19*(1+MYP!$I$8)</f>
        <v>0</v>
      </c>
      <c r="I19" s="362">
        <f>+'FY22'!I19*(1+MYP!$I$8)</f>
        <v>0</v>
      </c>
      <c r="J19" s="362">
        <f>+'FY22'!J19*(1+MYP!$I$8)</f>
        <v>0</v>
      </c>
      <c r="K19" s="362">
        <f>+'FY22'!K19*(1+MYP!$I$8)</f>
        <v>9633.778645010907</v>
      </c>
      <c r="L19" s="362">
        <f>+'FY22'!L19*(1+MYP!$I$8)</f>
        <v>0</v>
      </c>
      <c r="M19" s="362">
        <f>+'FY22'!M19*(1+MYP!$I$8)</f>
        <v>0</v>
      </c>
      <c r="N19" s="362">
        <f>+'FY22'!N19*(1+MYP!$I$8)</f>
        <v>0</v>
      </c>
      <c r="O19" s="362">
        <f>+'FY22'!O19*(1+MYP!$I$8)</f>
        <v>0</v>
      </c>
      <c r="P19" s="362">
        <f>+'FY22'!P19*(1+MYP!$I$8)</f>
        <v>12042.223306263635</v>
      </c>
      <c r="Q19" s="100"/>
      <c r="R19" s="41"/>
      <c r="S19" s="59">
        <f t="shared" si="2"/>
        <v>21676.001951274542</v>
      </c>
      <c r="T19" s="41"/>
      <c r="U19" s="39">
        <f>'FY22'!S19</f>
        <v>20071.957499999997</v>
      </c>
      <c r="V19" s="39">
        <f t="shared" si="1"/>
        <v>1604.0444512745453</v>
      </c>
      <c r="W19" s="39"/>
    </row>
    <row r="20" spans="1:23" s="37" customFormat="1" ht="12" x14ac:dyDescent="0.2">
      <c r="A20" s="45"/>
      <c r="C20" s="199">
        <v>4571</v>
      </c>
      <c r="D20" s="37" t="s">
        <v>7</v>
      </c>
      <c r="E20" s="362">
        <f>+'FY22'!E20*(1+MYP!$I$8)</f>
        <v>0</v>
      </c>
      <c r="F20" s="362">
        <f>+'FY22'!F20*(1+MYP!$I$8)</f>
        <v>0</v>
      </c>
      <c r="G20" s="362">
        <f>+'FY22'!G20*(1+MYP!$I$8)</f>
        <v>0</v>
      </c>
      <c r="H20" s="362">
        <f>+'FY22'!H20*(1+MYP!$I$8)</f>
        <v>0</v>
      </c>
      <c r="I20" s="362">
        <f>+'FY22'!I20*(1+MYP!$I$8)</f>
        <v>0</v>
      </c>
      <c r="J20" s="362">
        <f>+'FY22'!J20*(1+MYP!$I$8)</f>
        <v>2343.4148978377302</v>
      </c>
      <c r="K20" s="362">
        <f>+'FY22'!K20*(1+MYP!$I$8)</f>
        <v>0</v>
      </c>
      <c r="L20" s="362">
        <f>+'FY22'!L20*(1+MYP!$I$8)</f>
        <v>0</v>
      </c>
      <c r="M20" s="362">
        <f>+'FY22'!M20*(1+MYP!$I$8)</f>
        <v>0</v>
      </c>
      <c r="N20" s="362">
        <f>+'FY22'!N20*(1+MYP!$I$8)</f>
        <v>0</v>
      </c>
      <c r="O20" s="362">
        <f>+'FY22'!O20*(1+MYP!$I$8)</f>
        <v>3515.1223467565951</v>
      </c>
      <c r="P20" s="362">
        <f>+'FY22'!P20*(1+MYP!$I$8)</f>
        <v>0</v>
      </c>
      <c r="Q20" s="100"/>
      <c r="R20" s="41"/>
      <c r="S20" s="62">
        <f t="shared" si="2"/>
        <v>5858.5372445943249</v>
      </c>
      <c r="T20" s="41"/>
      <c r="U20" s="41">
        <f>'FY22'!S20</f>
        <v>5425</v>
      </c>
      <c r="V20" s="41">
        <f t="shared" si="1"/>
        <v>433.53724459432487</v>
      </c>
      <c r="W20" s="39"/>
    </row>
    <row r="21" spans="1:23" s="37" customFormat="1" ht="12" x14ac:dyDescent="0.2">
      <c r="A21" s="45"/>
      <c r="C21" s="38">
        <v>4703</v>
      </c>
      <c r="D21" s="37" t="s">
        <v>185</v>
      </c>
      <c r="E21" s="362">
        <f>+'FY22'!E21*(1+MYP!$I$8)</f>
        <v>0</v>
      </c>
      <c r="F21" s="362">
        <f>+'FY22'!F21*(1+MYP!$I$8)</f>
        <v>0</v>
      </c>
      <c r="G21" s="362">
        <f>+'FY22'!G21*(1+MYP!$I$8)</f>
        <v>0</v>
      </c>
      <c r="H21" s="362">
        <f>+'FY22'!H21*(1+MYP!$I$8)</f>
        <v>0</v>
      </c>
      <c r="I21" s="362">
        <f>+'FY22'!I21*(1+MYP!$I$8)</f>
        <v>0</v>
      </c>
      <c r="J21" s="362">
        <f>+'FY22'!J21*(1+MYP!$I$8)</f>
        <v>6876.5986957364585</v>
      </c>
      <c r="K21" s="362">
        <f>+'FY22'!K21*(1+MYP!$I$8)</f>
        <v>0</v>
      </c>
      <c r="L21" s="362">
        <f>+'FY22'!L21*(1+MYP!$I$8)</f>
        <v>0</v>
      </c>
      <c r="M21" s="362">
        <f>+'FY22'!M21*(1+MYP!$I$8)</f>
        <v>0</v>
      </c>
      <c r="N21" s="362">
        <f>+'FY22'!N21*(1+MYP!$I$8)</f>
        <v>0</v>
      </c>
      <c r="O21" s="362">
        <f>+'FY22'!O21*(1+MYP!$I$8)</f>
        <v>6876.5986957364585</v>
      </c>
      <c r="P21" s="362">
        <f>+'FY22'!P21*(1+MYP!$I$8)</f>
        <v>0</v>
      </c>
      <c r="Q21" s="100"/>
      <c r="R21" s="41"/>
      <c r="S21" s="62">
        <f t="shared" ref="S21" si="7">SUM(E21:Q21)</f>
        <v>13753.197391472917</v>
      </c>
      <c r="T21" s="41"/>
      <c r="U21" s="41">
        <f>'FY22'!S21</f>
        <v>12735.447899999997</v>
      </c>
      <c r="V21" s="41">
        <f t="shared" ref="V21" si="8">S21-U21</f>
        <v>1017.7494914729195</v>
      </c>
      <c r="W21" s="39"/>
    </row>
    <row r="22" spans="1:23" s="37" customFormat="1" ht="12" x14ac:dyDescent="0.2">
      <c r="A22" s="45"/>
      <c r="C22" s="38"/>
      <c r="E22" s="50">
        <f>SUBTOTAL(9,E19:E21)</f>
        <v>0</v>
      </c>
      <c r="F22" s="50">
        <f t="shared" ref="F22:P22" si="9">SUBTOTAL(9,F19:F21)</f>
        <v>0</v>
      </c>
      <c r="G22" s="50">
        <f t="shared" si="9"/>
        <v>0</v>
      </c>
      <c r="H22" s="50">
        <f t="shared" si="9"/>
        <v>0</v>
      </c>
      <c r="I22" s="50">
        <f t="shared" si="9"/>
        <v>0</v>
      </c>
      <c r="J22" s="50">
        <f t="shared" si="9"/>
        <v>9220.0135935741891</v>
      </c>
      <c r="K22" s="50">
        <f t="shared" si="9"/>
        <v>9633.778645010907</v>
      </c>
      <c r="L22" s="50">
        <f t="shared" si="9"/>
        <v>0</v>
      </c>
      <c r="M22" s="50">
        <f t="shared" si="9"/>
        <v>0</v>
      </c>
      <c r="N22" s="50">
        <f t="shared" si="9"/>
        <v>0</v>
      </c>
      <c r="O22" s="50">
        <f t="shared" si="9"/>
        <v>10391.721042493053</v>
      </c>
      <c r="P22" s="50">
        <f t="shared" si="9"/>
        <v>12042.223306263635</v>
      </c>
      <c r="Q22" s="99"/>
      <c r="R22" s="41"/>
      <c r="S22" s="61">
        <f>SUBTOTAL(9,S19:S21)</f>
        <v>41287.736587341788</v>
      </c>
      <c r="T22" s="41"/>
      <c r="U22" s="50">
        <f>SUBTOTAL(9,U19:U21)</f>
        <v>38232.405399999996</v>
      </c>
      <c r="V22" s="50">
        <f>SUBTOTAL(9,V19:V21)</f>
        <v>3055.3311873417897</v>
      </c>
      <c r="W22" s="39"/>
    </row>
    <row r="23" spans="1:23" s="37" customFormat="1" ht="12" x14ac:dyDescent="0.2">
      <c r="A23" s="45"/>
      <c r="C23" s="49" t="s">
        <v>150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100"/>
      <c r="R23" s="41"/>
      <c r="S23" s="62"/>
      <c r="T23" s="41"/>
      <c r="U23" s="41"/>
      <c r="V23" s="41"/>
      <c r="W23" s="39"/>
    </row>
    <row r="24" spans="1:23" s="37" customFormat="1" ht="12" x14ac:dyDescent="0.2">
      <c r="A24" s="45"/>
      <c r="C24" s="199">
        <v>1790</v>
      </c>
      <c r="D24" s="37" t="s">
        <v>4</v>
      </c>
      <c r="E24" s="362">
        <f>+'FY22'!E24*(1+MYP!$I$8)</f>
        <v>0</v>
      </c>
      <c r="F24" s="362">
        <f>+'FY22'!F24*(1+MYP!$I$8)</f>
        <v>0</v>
      </c>
      <c r="G24" s="362">
        <f>+'FY22'!G24*(1+MYP!$I$8)</f>
        <v>0</v>
      </c>
      <c r="H24" s="362">
        <f>+'FY22'!H24*(1+MYP!$I$8)</f>
        <v>105031.85572108706</v>
      </c>
      <c r="I24" s="362">
        <f>+'FY22'!I24*(1+MYP!$I$8)</f>
        <v>0</v>
      </c>
      <c r="J24" s="362">
        <f>+'FY22'!J24*(1+MYP!$I$8)</f>
        <v>0</v>
      </c>
      <c r="K24" s="362">
        <f>+'FY22'!K24*(1+MYP!$I$8)</f>
        <v>105031.85572108706</v>
      </c>
      <c r="L24" s="362">
        <f>+'FY22'!L24*(1+MYP!$I$8)</f>
        <v>0</v>
      </c>
      <c r="M24" s="362">
        <f>+'FY22'!M24*(1+MYP!$I$8)</f>
        <v>0</v>
      </c>
      <c r="N24" s="362">
        <f>+'FY22'!N24*(1+MYP!$I$8)</f>
        <v>105031.85572108706</v>
      </c>
      <c r="O24" s="362">
        <f>+'FY22'!O24*(1+MYP!$I$8)</f>
        <v>0</v>
      </c>
      <c r="P24" s="362">
        <f>+'FY22'!P24*(1+MYP!$I$8)</f>
        <v>105031.85572108706</v>
      </c>
      <c r="Q24" s="100"/>
      <c r="R24" s="41"/>
      <c r="S24" s="59">
        <f>SUM(E24:Q24)</f>
        <v>420127.42288434826</v>
      </c>
      <c r="T24" s="41"/>
      <c r="U24" s="39">
        <f>'FY22'!S24</f>
        <v>389037.6</v>
      </c>
      <c r="V24" s="39">
        <f>S24-U24</f>
        <v>31089.822884348279</v>
      </c>
      <c r="W24" s="39"/>
    </row>
    <row r="25" spans="1:23" s="37" customFormat="1" ht="12" x14ac:dyDescent="0.2">
      <c r="A25" s="45"/>
      <c r="C25" s="38"/>
      <c r="E25" s="50">
        <f>SUBTOTAL(9,E24)</f>
        <v>0</v>
      </c>
      <c r="F25" s="50">
        <f t="shared" ref="F25:S25" si="10">SUBTOTAL(9,F24)</f>
        <v>0</v>
      </c>
      <c r="G25" s="50">
        <f t="shared" si="10"/>
        <v>0</v>
      </c>
      <c r="H25" s="50">
        <f t="shared" si="10"/>
        <v>105031.85572108706</v>
      </c>
      <c r="I25" s="50">
        <f t="shared" si="10"/>
        <v>0</v>
      </c>
      <c r="J25" s="50">
        <f t="shared" si="10"/>
        <v>0</v>
      </c>
      <c r="K25" s="50">
        <f t="shared" si="10"/>
        <v>105031.85572108706</v>
      </c>
      <c r="L25" s="50">
        <f t="shared" si="10"/>
        <v>0</v>
      </c>
      <c r="M25" s="50">
        <f t="shared" si="10"/>
        <v>0</v>
      </c>
      <c r="N25" s="50">
        <f t="shared" si="10"/>
        <v>105031.85572108706</v>
      </c>
      <c r="O25" s="50">
        <f t="shared" si="10"/>
        <v>0</v>
      </c>
      <c r="P25" s="50">
        <f t="shared" si="10"/>
        <v>105031.85572108706</v>
      </c>
      <c r="Q25" s="99"/>
      <c r="R25" s="41"/>
      <c r="S25" s="61">
        <f t="shared" si="10"/>
        <v>420127.42288434826</v>
      </c>
      <c r="T25" s="41"/>
      <c r="U25" s="50">
        <f t="shared" ref="U25" si="11">SUBTOTAL(9,U24)</f>
        <v>389037.6</v>
      </c>
      <c r="V25" s="50">
        <f t="shared" ref="V25" si="12">SUBTOTAL(9,V24)</f>
        <v>31089.822884348279</v>
      </c>
      <c r="W25" s="39"/>
    </row>
    <row r="26" spans="1:23" s="37" customFormat="1" ht="9" customHeight="1" x14ac:dyDescent="0.2">
      <c r="A26" s="45"/>
      <c r="C26" s="38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100"/>
      <c r="R26" s="41"/>
      <c r="S26" s="59"/>
      <c r="T26" s="41"/>
      <c r="U26" s="39"/>
      <c r="V26" s="39"/>
      <c r="W26" s="39"/>
    </row>
    <row r="27" spans="1:23" s="45" customFormat="1" ht="12" x14ac:dyDescent="0.2">
      <c r="A27" s="45" t="s">
        <v>105</v>
      </c>
      <c r="C27" s="46"/>
      <c r="E27" s="43">
        <f t="shared" ref="E27:P27" si="13">SUBTOTAL(9,E8:E26)</f>
        <v>175896.72223170003</v>
      </c>
      <c r="F27" s="43">
        <f t="shared" si="13"/>
        <v>175896.72223170003</v>
      </c>
      <c r="G27" s="43">
        <f t="shared" si="13"/>
        <v>175896.72223170003</v>
      </c>
      <c r="H27" s="43">
        <f t="shared" si="13"/>
        <v>280928.57795278711</v>
      </c>
      <c r="I27" s="43">
        <f t="shared" si="13"/>
        <v>175896.72223170003</v>
      </c>
      <c r="J27" s="43">
        <f t="shared" si="13"/>
        <v>185116.73582527423</v>
      </c>
      <c r="K27" s="43">
        <f t="shared" si="13"/>
        <v>290562.356597798</v>
      </c>
      <c r="L27" s="43">
        <f t="shared" si="13"/>
        <v>175896.72223170003</v>
      </c>
      <c r="M27" s="43">
        <f t="shared" si="13"/>
        <v>175896.72223170003</v>
      </c>
      <c r="N27" s="43">
        <f t="shared" si="13"/>
        <v>280928.57795278711</v>
      </c>
      <c r="O27" s="43">
        <f t="shared" si="13"/>
        <v>186288.44327419309</v>
      </c>
      <c r="P27" s="43">
        <f t="shared" si="13"/>
        <v>292963.76539016142</v>
      </c>
      <c r="Q27" s="196"/>
      <c r="R27" s="48"/>
      <c r="S27" s="60">
        <f>SUBTOTAL(9,S8:S26)</f>
        <v>2572168.7903832006</v>
      </c>
      <c r="T27" s="48"/>
      <c r="U27" s="43">
        <f>SUBTOTAL(9,U8:U26)</f>
        <v>2381825.8901920002</v>
      </c>
      <c r="V27" s="43">
        <f>SUBTOTAL(9,V8:V26)</f>
        <v>190342.90019120113</v>
      </c>
      <c r="W27" s="40"/>
    </row>
    <row r="28" spans="1:23" s="45" customFormat="1" ht="12" x14ac:dyDescent="0.2">
      <c r="C28" s="46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100"/>
      <c r="R28" s="48"/>
      <c r="S28" s="59"/>
      <c r="T28" s="48"/>
      <c r="U28" s="40"/>
      <c r="V28" s="40"/>
      <c r="W28" s="40"/>
    </row>
    <row r="29" spans="1:23" s="37" customFormat="1" ht="12" x14ac:dyDescent="0.2">
      <c r="A29" s="45" t="s">
        <v>59</v>
      </c>
      <c r="C29" s="3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44"/>
      <c r="R29" s="41"/>
      <c r="S29" s="59"/>
      <c r="T29" s="41"/>
      <c r="U29" s="39"/>
      <c r="V29" s="39"/>
      <c r="W29" s="39"/>
    </row>
    <row r="30" spans="1:23" s="37" customFormat="1" ht="12" x14ac:dyDescent="0.2">
      <c r="C30" s="49" t="s">
        <v>8</v>
      </c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44"/>
      <c r="R30" s="41"/>
      <c r="S30" s="59"/>
      <c r="T30" s="41"/>
      <c r="U30" s="39"/>
      <c r="V30" s="39"/>
      <c r="W30" s="39"/>
    </row>
    <row r="31" spans="1:23" s="37" customFormat="1" ht="12" x14ac:dyDescent="0.2">
      <c r="C31" s="199">
        <v>6111</v>
      </c>
      <c r="D31" s="37" t="s">
        <v>191</v>
      </c>
      <c r="E31" s="39">
        <f>+'FY22'!E31*(1+MYP!$I$9)</f>
        <v>0</v>
      </c>
      <c r="F31" s="39">
        <f>+'FY22'!F31*(1+MYP!$I$9)</f>
        <v>0</v>
      </c>
      <c r="G31" s="39">
        <f>+'FY22'!G31*(1+MYP!$I$9)</f>
        <v>0</v>
      </c>
      <c r="H31" s="39">
        <f>+'FY22'!H31*(1+MYP!$I$9)</f>
        <v>0</v>
      </c>
      <c r="I31" s="39">
        <f>+'FY22'!I31*(1+MYP!$I$9)</f>
        <v>0</v>
      </c>
      <c r="J31" s="39">
        <f>+'FY22'!J31*(1+MYP!$I$9)</f>
        <v>0</v>
      </c>
      <c r="K31" s="39">
        <f>+'FY22'!K31*(1+MYP!$I$9)</f>
        <v>0</v>
      </c>
      <c r="L31" s="39">
        <f>+'FY22'!L31*(1+MYP!$I$9)</f>
        <v>0</v>
      </c>
      <c r="M31" s="39">
        <f>+'FY22'!M31*(1+MYP!$I$9)</f>
        <v>0</v>
      </c>
      <c r="N31" s="39">
        <f>+'FY22'!N31*(1+MYP!$I$9)</f>
        <v>0</v>
      </c>
      <c r="O31" s="39">
        <f>+'FY22'!O31*(1+MYP!$I$9)</f>
        <v>0</v>
      </c>
      <c r="P31" s="39">
        <f>+'FY22'!P31*(1+MYP!$I$9)</f>
        <v>0</v>
      </c>
      <c r="Q31" s="100"/>
      <c r="R31" s="41"/>
      <c r="S31" s="59">
        <f t="shared" ref="S31:S40" si="14">SUM(E31:Q31)</f>
        <v>0</v>
      </c>
      <c r="T31" s="41"/>
      <c r="U31" s="39">
        <f>'FY22'!S31</f>
        <v>0</v>
      </c>
      <c r="V31" s="39">
        <f>U31-S31</f>
        <v>0</v>
      </c>
      <c r="W31" s="39"/>
    </row>
    <row r="32" spans="1:23" s="37" customFormat="1" ht="12" x14ac:dyDescent="0.2">
      <c r="C32" s="199">
        <v>6114</v>
      </c>
      <c r="D32" s="37" t="s">
        <v>192</v>
      </c>
      <c r="E32" s="39">
        <f>+'FY22'!E32*(1+MYP!$I$9)</f>
        <v>42728.161590000003</v>
      </c>
      <c r="F32" s="39">
        <f>+'FY22'!F32*(1+MYP!$I$9)</f>
        <v>42728.161590000003</v>
      </c>
      <c r="G32" s="39">
        <f>+'FY22'!G32*(1+MYP!$I$9)</f>
        <v>42728.161590000003</v>
      </c>
      <c r="H32" s="39">
        <f>+'FY22'!H32*(1+MYP!$I$9)</f>
        <v>42728.161590000003</v>
      </c>
      <c r="I32" s="39">
        <f>+'FY22'!I32*(1+MYP!$I$9)</f>
        <v>42728.161590000003</v>
      </c>
      <c r="J32" s="39">
        <f>+'FY22'!J32*(1+MYP!$I$9)</f>
        <v>42728.161590000003</v>
      </c>
      <c r="K32" s="39">
        <f>+'FY22'!K32*(1+MYP!$I$9)</f>
        <v>42728.161590000003</v>
      </c>
      <c r="L32" s="39">
        <f>+'FY22'!L32*(1+MYP!$I$9)</f>
        <v>42728.161590000003</v>
      </c>
      <c r="M32" s="39">
        <f>+'FY22'!M32*(1+MYP!$I$9)</f>
        <v>42728.161590000003</v>
      </c>
      <c r="N32" s="39">
        <f>+'FY22'!N32*(1+MYP!$I$9)</f>
        <v>42728.161590000003</v>
      </c>
      <c r="O32" s="39">
        <f>+'FY22'!O32*(1+MYP!$I$9)</f>
        <v>42728.161590000003</v>
      </c>
      <c r="P32" s="39">
        <f>+'FY22'!P32*(1+MYP!$I$9)</f>
        <v>42728.161590000003</v>
      </c>
      <c r="Q32" s="100"/>
      <c r="R32" s="41"/>
      <c r="S32" s="59">
        <f t="shared" si="14"/>
        <v>512737.93908000016</v>
      </c>
      <c r="T32" s="41"/>
      <c r="U32" s="39">
        <f>'FY22'!S32</f>
        <v>502684.25400000013</v>
      </c>
      <c r="V32" s="39">
        <f t="shared" ref="V32:V40" si="15">U32-S32</f>
        <v>-10053.685080000025</v>
      </c>
      <c r="W32" s="39"/>
    </row>
    <row r="33" spans="3:23" s="37" customFormat="1" ht="12" x14ac:dyDescent="0.2">
      <c r="C33" s="199">
        <v>6117</v>
      </c>
      <c r="D33" s="37" t="s">
        <v>228</v>
      </c>
      <c r="E33" s="39">
        <f>+'FY22'!E33*(1+MYP!$I$9)</f>
        <v>54616.174956300005</v>
      </c>
      <c r="F33" s="39">
        <f>+'FY22'!F33*(1+MYP!$I$9)</f>
        <v>57425.254956300007</v>
      </c>
      <c r="G33" s="39">
        <f>+'FY22'!G33*(1+MYP!$I$9)</f>
        <v>54616.174956300005</v>
      </c>
      <c r="H33" s="39">
        <f>+'FY22'!H33*(1+MYP!$I$9)</f>
        <v>57425.254956300007</v>
      </c>
      <c r="I33" s="39">
        <f>+'FY22'!I33*(1+MYP!$I$9)</f>
        <v>54616.174956300005</v>
      </c>
      <c r="J33" s="39">
        <f>+'FY22'!J33*(1+MYP!$I$9)</f>
        <v>54616.174956300005</v>
      </c>
      <c r="K33" s="39">
        <f>+'FY22'!K33*(1+MYP!$I$9)</f>
        <v>57425.254956300007</v>
      </c>
      <c r="L33" s="39">
        <f>+'FY22'!L33*(1+MYP!$I$9)</f>
        <v>54616.174956300005</v>
      </c>
      <c r="M33" s="39">
        <f>+'FY22'!M33*(1+MYP!$I$9)</f>
        <v>54616.174956300005</v>
      </c>
      <c r="N33" s="39">
        <f>+'FY22'!N33*(1+MYP!$I$9)</f>
        <v>57425.254956300007</v>
      </c>
      <c r="O33" s="39">
        <f>+'FY22'!O33*(1+MYP!$I$9)</f>
        <v>57425.254956300007</v>
      </c>
      <c r="P33" s="39">
        <f>+'FY22'!P33*(1+MYP!$I$9)</f>
        <v>54616.174956300005</v>
      </c>
      <c r="Q33" s="100"/>
      <c r="R33" s="41"/>
      <c r="S33" s="59">
        <f t="shared" si="14"/>
        <v>669439.4994756002</v>
      </c>
      <c r="T33" s="41"/>
      <c r="U33" s="39">
        <f>'FY22'!S33</f>
        <v>656313.23478000006</v>
      </c>
      <c r="V33" s="39">
        <f t="shared" si="15"/>
        <v>-13126.264695600141</v>
      </c>
      <c r="W33" s="39"/>
    </row>
    <row r="34" spans="3:23" s="37" customFormat="1" ht="12" x14ac:dyDescent="0.2">
      <c r="C34" s="199">
        <v>6127</v>
      </c>
      <c r="D34" s="37" t="s">
        <v>229</v>
      </c>
      <c r="E34" s="39">
        <f>+'FY22'!E34*(1+MYP!$I$9)</f>
        <v>3065.712</v>
      </c>
      <c r="F34" s="39">
        <f>+'FY22'!F34*(1+MYP!$I$9)</f>
        <v>3065.712</v>
      </c>
      <c r="G34" s="39">
        <f>+'FY22'!G34*(1+MYP!$I$9)</f>
        <v>3065.712</v>
      </c>
      <c r="H34" s="39">
        <f>+'FY22'!H34*(1+MYP!$I$9)</f>
        <v>3065.712</v>
      </c>
      <c r="I34" s="39">
        <f>+'FY22'!I34*(1+MYP!$I$9)</f>
        <v>3065.712</v>
      </c>
      <c r="J34" s="39">
        <f>+'FY22'!J34*(1+MYP!$I$9)</f>
        <v>3065.712</v>
      </c>
      <c r="K34" s="39">
        <f>+'FY22'!K34*(1+MYP!$I$9)</f>
        <v>3065.712</v>
      </c>
      <c r="L34" s="39">
        <f>+'FY22'!L34*(1+MYP!$I$9)</f>
        <v>3065.712</v>
      </c>
      <c r="M34" s="39">
        <f>+'FY22'!M34*(1+MYP!$I$9)</f>
        <v>3065.712</v>
      </c>
      <c r="N34" s="39">
        <f>+'FY22'!N34*(1+MYP!$I$9)</f>
        <v>3065.712</v>
      </c>
      <c r="O34" s="39">
        <f>+'FY22'!O34*(1+MYP!$I$9)</f>
        <v>3065.712</v>
      </c>
      <c r="P34" s="39">
        <f>+'FY22'!P34*(1+MYP!$I$9)</f>
        <v>3065.712</v>
      </c>
      <c r="Q34" s="100"/>
      <c r="R34" s="41"/>
      <c r="S34" s="59">
        <f t="shared" si="14"/>
        <v>36788.544000000002</v>
      </c>
      <c r="T34" s="41"/>
      <c r="U34" s="39">
        <f>'FY22'!S34</f>
        <v>36067.19999999999</v>
      </c>
      <c r="V34" s="39">
        <f t="shared" si="15"/>
        <v>-721.34400000001187</v>
      </c>
      <c r="W34" s="39"/>
    </row>
    <row r="35" spans="3:23" s="37" customFormat="1" ht="12" x14ac:dyDescent="0.2">
      <c r="C35" s="199">
        <v>6151</v>
      </c>
      <c r="D35" s="37" t="s">
        <v>189</v>
      </c>
      <c r="E35" s="39">
        <f>+'FY22'!E35*(1+MYP!$I$9)</f>
        <v>0</v>
      </c>
      <c r="F35" s="39">
        <f>+'FY22'!F35*(1+MYP!$I$9)</f>
        <v>0</v>
      </c>
      <c r="G35" s="39">
        <f>+'FY22'!G35*(1+MYP!$I$9)</f>
        <v>0</v>
      </c>
      <c r="H35" s="39">
        <f>+'FY22'!H35*(1+MYP!$I$9)</f>
        <v>0</v>
      </c>
      <c r="I35" s="39">
        <f>+'FY22'!I35*(1+MYP!$I$9)</f>
        <v>0</v>
      </c>
      <c r="J35" s="39">
        <f>+'FY22'!J35*(1+MYP!$I$9)</f>
        <v>0</v>
      </c>
      <c r="K35" s="39">
        <f>+'FY22'!K35*(1+MYP!$I$9)</f>
        <v>0</v>
      </c>
      <c r="L35" s="39">
        <f>+'FY22'!L35*(1+MYP!$I$9)</f>
        <v>0</v>
      </c>
      <c r="M35" s="39">
        <f>+'FY22'!M35*(1+MYP!$I$9)</f>
        <v>0</v>
      </c>
      <c r="N35" s="39">
        <f>+'FY22'!N35*(1+MYP!$I$9)</f>
        <v>0</v>
      </c>
      <c r="O35" s="39">
        <f>+'FY22'!O35*(1+MYP!$I$9)</f>
        <v>0</v>
      </c>
      <c r="P35" s="39">
        <f>+'FY22'!P35*(1+MYP!$I$9)</f>
        <v>0</v>
      </c>
      <c r="Q35" s="100"/>
      <c r="R35" s="41"/>
      <c r="S35" s="59">
        <f t="shared" si="14"/>
        <v>0</v>
      </c>
      <c r="T35" s="41"/>
      <c r="U35" s="39">
        <f>'FY22'!S35</f>
        <v>0</v>
      </c>
      <c r="V35" s="39">
        <f t="shared" si="15"/>
        <v>0</v>
      </c>
      <c r="W35" s="39"/>
    </row>
    <row r="36" spans="3:23" s="37" customFormat="1" ht="12" x14ac:dyDescent="0.2">
      <c r="C36" s="199">
        <v>6154</v>
      </c>
      <c r="D36" s="37" t="s">
        <v>190</v>
      </c>
      <c r="E36" s="39">
        <f>+'FY22'!E36*(1+MYP!$I$9)</f>
        <v>0</v>
      </c>
      <c r="F36" s="39">
        <f>+'FY22'!F36*(1+MYP!$I$9)</f>
        <v>0</v>
      </c>
      <c r="G36" s="39">
        <f>+'FY22'!G36*(1+MYP!$I$9)</f>
        <v>0</v>
      </c>
      <c r="H36" s="39">
        <f>+'FY22'!H36*(1+MYP!$I$9)</f>
        <v>0</v>
      </c>
      <c r="I36" s="39">
        <f>+'FY22'!I36*(1+MYP!$I$9)</f>
        <v>780.30000000000007</v>
      </c>
      <c r="J36" s="39">
        <f>+'FY22'!J36*(1+MYP!$I$9)</f>
        <v>780.30000000000007</v>
      </c>
      <c r="K36" s="39">
        <f>+'FY22'!K36*(1+MYP!$I$9)</f>
        <v>780.30000000000007</v>
      </c>
      <c r="L36" s="39">
        <f>+'FY22'!L36*(1+MYP!$I$9)</f>
        <v>780.30000000000007</v>
      </c>
      <c r="M36" s="39">
        <f>+'FY22'!M36*(1+MYP!$I$9)</f>
        <v>0</v>
      </c>
      <c r="N36" s="39">
        <f>+'FY22'!N36*(1+MYP!$I$9)</f>
        <v>0</v>
      </c>
      <c r="O36" s="39">
        <f>+'FY22'!O36*(1+MYP!$I$9)</f>
        <v>780.30000000000007</v>
      </c>
      <c r="P36" s="39">
        <f>+'FY22'!P36*(1+MYP!$I$9)</f>
        <v>25489.8</v>
      </c>
      <c r="Q36" s="100"/>
      <c r="R36" s="41"/>
      <c r="S36" s="59">
        <f t="shared" si="14"/>
        <v>29391.3</v>
      </c>
      <c r="T36" s="41"/>
      <c r="U36" s="39">
        <f>'FY22'!S36</f>
        <v>28815</v>
      </c>
      <c r="V36" s="39">
        <f t="shared" si="15"/>
        <v>-576.29999999999927</v>
      </c>
      <c r="W36" s="39"/>
    </row>
    <row r="37" spans="3:23" s="37" customFormat="1" ht="12" x14ac:dyDescent="0.2">
      <c r="C37" s="199">
        <v>6157</v>
      </c>
      <c r="D37" s="37" t="s">
        <v>230</v>
      </c>
      <c r="E37" s="39">
        <f>+'FY22'!E37*(1+MYP!$I$9)</f>
        <v>0</v>
      </c>
      <c r="F37" s="39">
        <f>+'FY22'!F37*(1+MYP!$I$9)</f>
        <v>1747.8720000000001</v>
      </c>
      <c r="G37" s="39">
        <f>+'FY22'!G37*(1+MYP!$I$9)</f>
        <v>4531.9823999999999</v>
      </c>
      <c r="H37" s="39">
        <f>+'FY22'!H37*(1+MYP!$I$9)</f>
        <v>4625.6184000000003</v>
      </c>
      <c r="I37" s="39">
        <f>+'FY22'!I37*(1+MYP!$I$9)</f>
        <v>5405.9184000000005</v>
      </c>
      <c r="J37" s="39">
        <f>+'FY22'!J37*(1+MYP!$I$9)</f>
        <v>2877.7464</v>
      </c>
      <c r="K37" s="39">
        <f>+'FY22'!K37*(1+MYP!$I$9)</f>
        <v>2877.7464</v>
      </c>
      <c r="L37" s="39">
        <f>+'FY22'!L37*(1+MYP!$I$9)</f>
        <v>2003.8104000000001</v>
      </c>
      <c r="M37" s="39">
        <f>+'FY22'!M37*(1+MYP!$I$9)</f>
        <v>4531.9823999999999</v>
      </c>
      <c r="N37" s="39">
        <f>+'FY22'!N37*(1+MYP!$I$9)</f>
        <v>3751.6824000000001</v>
      </c>
      <c r="O37" s="39">
        <f>+'FY22'!O37*(1+MYP!$I$9)</f>
        <v>4276.0439999999999</v>
      </c>
      <c r="P37" s="39">
        <f>+'FY22'!P37*(1+MYP!$I$9)</f>
        <v>0</v>
      </c>
      <c r="Q37" s="100"/>
      <c r="R37" s="41"/>
      <c r="S37" s="59">
        <f t="shared" si="14"/>
        <v>36630.403200000001</v>
      </c>
      <c r="T37" s="41"/>
      <c r="U37" s="39">
        <f>'FY22'!S37</f>
        <v>35912.159999999996</v>
      </c>
      <c r="V37" s="39">
        <f t="shared" si="15"/>
        <v>-718.24320000000444</v>
      </c>
      <c r="W37" s="39"/>
    </row>
    <row r="38" spans="3:23" s="37" customFormat="1" ht="12" x14ac:dyDescent="0.2">
      <c r="C38" s="199">
        <v>6161</v>
      </c>
      <c r="D38" s="37" t="s">
        <v>97</v>
      </c>
      <c r="E38" s="39">
        <f>+'FY22'!E38*(1+MYP!$I$9)</f>
        <v>0</v>
      </c>
      <c r="F38" s="39">
        <f>+'FY22'!F38*(1+MYP!$I$9)</f>
        <v>0</v>
      </c>
      <c r="G38" s="39">
        <f>+'FY22'!G38*(1+MYP!$I$9)</f>
        <v>0</v>
      </c>
      <c r="H38" s="39">
        <f>+'FY22'!H38*(1+MYP!$I$9)</f>
        <v>0</v>
      </c>
      <c r="I38" s="39">
        <f>+'FY22'!I38*(1+MYP!$I$9)</f>
        <v>0</v>
      </c>
      <c r="J38" s="39">
        <f>+'FY22'!J38*(1+MYP!$I$9)</f>
        <v>0</v>
      </c>
      <c r="K38" s="39">
        <f>+'FY22'!K38*(1+MYP!$I$9)</f>
        <v>0</v>
      </c>
      <c r="L38" s="39">
        <f>+'FY22'!L38*(1+MYP!$I$9)</f>
        <v>0</v>
      </c>
      <c r="M38" s="39">
        <f>+'FY22'!M38*(1+MYP!$I$9)</f>
        <v>0</v>
      </c>
      <c r="N38" s="39">
        <f>+'FY22'!N38*(1+MYP!$I$9)</f>
        <v>0</v>
      </c>
      <c r="O38" s="39">
        <f>+'FY22'!O38*(1+MYP!$I$9)</f>
        <v>0</v>
      </c>
      <c r="P38" s="39">
        <f>+'FY22'!P38*(1+MYP!$I$9)</f>
        <v>0</v>
      </c>
      <c r="Q38" s="100"/>
      <c r="R38" s="41"/>
      <c r="S38" s="59">
        <f t="shared" si="14"/>
        <v>0</v>
      </c>
      <c r="T38" s="41"/>
      <c r="U38" s="39">
        <f>'FY22'!S38</f>
        <v>0</v>
      </c>
      <c r="V38" s="39">
        <f t="shared" si="15"/>
        <v>0</v>
      </c>
      <c r="W38" s="39"/>
    </row>
    <row r="39" spans="3:23" s="37" customFormat="1" ht="12" x14ac:dyDescent="0.2">
      <c r="C39" s="199">
        <v>6164</v>
      </c>
      <c r="D39" s="37" t="s">
        <v>98</v>
      </c>
      <c r="E39" s="39">
        <f>+'FY22'!E39*(1+MYP!$I$9)</f>
        <v>0</v>
      </c>
      <c r="F39" s="39">
        <f>+'FY22'!F39*(1+MYP!$I$9)</f>
        <v>0</v>
      </c>
      <c r="G39" s="39">
        <f>+'FY22'!G39*(1+MYP!$I$9)</f>
        <v>780.30000000000007</v>
      </c>
      <c r="H39" s="39">
        <f>+'FY22'!H39*(1+MYP!$I$9)</f>
        <v>1040.4000000000001</v>
      </c>
      <c r="I39" s="39">
        <f>+'FY22'!I39*(1+MYP!$I$9)</f>
        <v>780.30000000000007</v>
      </c>
      <c r="J39" s="39">
        <f>+'FY22'!J39*(1+MYP!$I$9)</f>
        <v>1300.5</v>
      </c>
      <c r="K39" s="39">
        <f>+'FY22'!K39*(1+MYP!$I$9)</f>
        <v>1300.5</v>
      </c>
      <c r="L39" s="39">
        <f>+'FY22'!L39*(1+MYP!$I$9)</f>
        <v>2080.8000000000002</v>
      </c>
      <c r="M39" s="39">
        <f>+'FY22'!M39*(1+MYP!$I$9)</f>
        <v>2340.9</v>
      </c>
      <c r="N39" s="39">
        <f>+'FY22'!N39*(1+MYP!$I$9)</f>
        <v>2080.8000000000002</v>
      </c>
      <c r="O39" s="39">
        <f>+'FY22'!O39*(1+MYP!$I$9)</f>
        <v>1300.5</v>
      </c>
      <c r="P39" s="39">
        <f>+'FY22'!P39*(1+MYP!$I$9)</f>
        <v>0</v>
      </c>
      <c r="Q39" s="100"/>
      <c r="R39" s="41"/>
      <c r="S39" s="59">
        <f t="shared" si="14"/>
        <v>13005</v>
      </c>
      <c r="T39" s="41"/>
      <c r="U39" s="39">
        <f>'FY22'!S39</f>
        <v>12750</v>
      </c>
      <c r="V39" s="39">
        <f t="shared" si="15"/>
        <v>-255</v>
      </c>
      <c r="W39" s="39"/>
    </row>
    <row r="40" spans="3:23" s="37" customFormat="1" ht="12" x14ac:dyDescent="0.2">
      <c r="C40" s="199">
        <v>6167</v>
      </c>
      <c r="D40" s="37" t="s">
        <v>231</v>
      </c>
      <c r="E40" s="39">
        <f>+'FY22'!E40*(1+MYP!$I$9)</f>
        <v>0</v>
      </c>
      <c r="F40" s="39">
        <f>+'FY22'!F40*(1+MYP!$I$9)</f>
        <v>0</v>
      </c>
      <c r="G40" s="39">
        <f>+'FY22'!G40*(1+MYP!$I$9)</f>
        <v>0</v>
      </c>
      <c r="H40" s="39">
        <f>+'FY22'!H40*(1+MYP!$I$9)</f>
        <v>0</v>
      </c>
      <c r="I40" s="39">
        <f>+'FY22'!I40*(1+MYP!$I$9)</f>
        <v>0</v>
      </c>
      <c r="J40" s="39">
        <f>+'FY22'!J40*(1+MYP!$I$9)</f>
        <v>520.20000000000005</v>
      </c>
      <c r="K40" s="39">
        <f>+'FY22'!K40*(1+MYP!$I$9)</f>
        <v>520.20000000000005</v>
      </c>
      <c r="L40" s="39">
        <f>+'FY22'!L40*(1+MYP!$I$9)</f>
        <v>520.20000000000005</v>
      </c>
      <c r="M40" s="39">
        <f>+'FY22'!M40*(1+MYP!$I$9)</f>
        <v>520.20000000000005</v>
      </c>
      <c r="N40" s="39">
        <f>+'FY22'!N40*(1+MYP!$I$9)</f>
        <v>520.20000000000005</v>
      </c>
      <c r="O40" s="39">
        <f>+'FY22'!O40*(1+MYP!$I$9)</f>
        <v>0</v>
      </c>
      <c r="P40" s="39">
        <f>+'FY22'!P40*(1+MYP!$I$9)</f>
        <v>0</v>
      </c>
      <c r="Q40" s="100"/>
      <c r="R40" s="41"/>
      <c r="S40" s="59">
        <f t="shared" si="14"/>
        <v>2601</v>
      </c>
      <c r="T40" s="41"/>
      <c r="U40" s="39">
        <f>'FY22'!S40</f>
        <v>2550</v>
      </c>
      <c r="V40" s="39">
        <f t="shared" si="15"/>
        <v>-51</v>
      </c>
      <c r="W40" s="39"/>
    </row>
    <row r="41" spans="3:23" s="37" customFormat="1" ht="12" x14ac:dyDescent="0.2">
      <c r="C41" s="38"/>
      <c r="E41" s="50">
        <f t="shared" ref="E41:P41" si="16">SUBTOTAL(9,E31:E40)</f>
        <v>100410.04854630001</v>
      </c>
      <c r="F41" s="50">
        <f t="shared" si="16"/>
        <v>104967.00054630001</v>
      </c>
      <c r="G41" s="50">
        <f t="shared" si="16"/>
        <v>105722.3309463</v>
      </c>
      <c r="H41" s="50">
        <f t="shared" si="16"/>
        <v>108885.14694630001</v>
      </c>
      <c r="I41" s="50">
        <f t="shared" si="16"/>
        <v>107376.56694630001</v>
      </c>
      <c r="J41" s="50">
        <f t="shared" si="16"/>
        <v>105888.79494630001</v>
      </c>
      <c r="K41" s="50">
        <f t="shared" si="16"/>
        <v>108697.87494630001</v>
      </c>
      <c r="L41" s="50">
        <f t="shared" si="16"/>
        <v>105795.15894630001</v>
      </c>
      <c r="M41" s="50">
        <f t="shared" si="16"/>
        <v>107803.13094629999</v>
      </c>
      <c r="N41" s="50">
        <f t="shared" si="16"/>
        <v>109571.81094630001</v>
      </c>
      <c r="O41" s="50">
        <f t="shared" si="16"/>
        <v>109575.97254630001</v>
      </c>
      <c r="P41" s="50">
        <f t="shared" si="16"/>
        <v>125899.84854630001</v>
      </c>
      <c r="Q41" s="51"/>
      <c r="R41" s="41"/>
      <c r="S41" s="61">
        <f>SUBTOTAL(9,S31:S40)</f>
        <v>1300593.6857556005</v>
      </c>
      <c r="T41" s="41"/>
      <c r="U41" s="50">
        <f>SUBTOTAL(9,U31:U40)</f>
        <v>1275091.8487800001</v>
      </c>
      <c r="V41" s="50">
        <f>SUBTOTAL(9,V31:V40)</f>
        <v>-25501.836975600181</v>
      </c>
      <c r="W41" s="39"/>
    </row>
    <row r="42" spans="3:23" s="37" customFormat="1" ht="12" x14ac:dyDescent="0.2">
      <c r="C42" s="49" t="s">
        <v>99</v>
      </c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44"/>
      <c r="R42" s="41"/>
      <c r="S42" s="59"/>
      <c r="T42" s="41"/>
      <c r="U42" s="39"/>
      <c r="V42" s="39"/>
      <c r="W42" s="39"/>
    </row>
    <row r="43" spans="3:23" s="37" customFormat="1" ht="12" x14ac:dyDescent="0.2">
      <c r="C43" s="199">
        <v>6211</v>
      </c>
      <c r="D43" s="37" t="s">
        <v>198</v>
      </c>
      <c r="E43" s="39">
        <f>+'FY22'!E43*(1+MYP!$I$9)</f>
        <v>0</v>
      </c>
      <c r="F43" s="39">
        <f>+'FY22'!F43*(1+MYP!$I$9)</f>
        <v>0</v>
      </c>
      <c r="G43" s="39">
        <f>+'FY22'!G43*(1+MYP!$I$9)</f>
        <v>0</v>
      </c>
      <c r="H43" s="39">
        <f>+'FY22'!H43*(1+MYP!$I$9)</f>
        <v>0</v>
      </c>
      <c r="I43" s="39">
        <f>+'FY22'!I43*(1+MYP!$I$9)</f>
        <v>0</v>
      </c>
      <c r="J43" s="39">
        <f>+'FY22'!J43*(1+MYP!$I$9)</f>
        <v>0</v>
      </c>
      <c r="K43" s="39">
        <f>+'FY22'!K43*(1+MYP!$I$9)</f>
        <v>0</v>
      </c>
      <c r="L43" s="39">
        <f>+'FY22'!L43*(1+MYP!$I$9)</f>
        <v>0</v>
      </c>
      <c r="M43" s="39">
        <f>+'FY22'!M43*(1+MYP!$I$9)</f>
        <v>0</v>
      </c>
      <c r="N43" s="39">
        <f>+'FY22'!N43*(1+MYP!$I$9)</f>
        <v>0</v>
      </c>
      <c r="O43" s="39">
        <f>+'FY22'!O43*(1+MYP!$I$9)</f>
        <v>0</v>
      </c>
      <c r="P43" s="39">
        <f>+'FY22'!P43*(1+MYP!$I$9)</f>
        <v>0</v>
      </c>
      <c r="Q43" s="36"/>
      <c r="R43" s="41"/>
      <c r="S43" s="59">
        <f t="shared" ref="S43:S61" si="17">SUM(E43:Q43)</f>
        <v>0</v>
      </c>
      <c r="T43" s="41"/>
      <c r="U43" s="39">
        <f>'FY22'!S43</f>
        <v>0</v>
      </c>
      <c r="V43" s="39">
        <f t="shared" ref="V43:V61" si="18">U43-S43</f>
        <v>0</v>
      </c>
      <c r="W43" s="39"/>
    </row>
    <row r="44" spans="3:23" s="37" customFormat="1" ht="12" x14ac:dyDescent="0.2">
      <c r="C44" s="199">
        <v>6214</v>
      </c>
      <c r="D44" s="37" t="s">
        <v>199</v>
      </c>
      <c r="E44" s="39">
        <f>+'FY22'!E44*(1+MYP!$I$9)</f>
        <v>153.97920000000002</v>
      </c>
      <c r="F44" s="39">
        <f>+'FY22'!F44*(1+MYP!$I$9)</f>
        <v>153.97920000000002</v>
      </c>
      <c r="G44" s="39">
        <f>+'FY22'!G44*(1+MYP!$I$9)</f>
        <v>153.97920000000002</v>
      </c>
      <c r="H44" s="39">
        <f>+'FY22'!H44*(1+MYP!$I$9)</f>
        <v>153.97920000000002</v>
      </c>
      <c r="I44" s="39">
        <f>+'FY22'!I44*(1+MYP!$I$9)</f>
        <v>153.97920000000002</v>
      </c>
      <c r="J44" s="39">
        <f>+'FY22'!J44*(1+MYP!$I$9)</f>
        <v>153.97920000000002</v>
      </c>
      <c r="K44" s="39">
        <f>+'FY22'!K44*(1+MYP!$I$9)</f>
        <v>153.97920000000002</v>
      </c>
      <c r="L44" s="39">
        <f>+'FY22'!L44*(1+MYP!$I$9)</f>
        <v>153.97920000000002</v>
      </c>
      <c r="M44" s="39">
        <f>+'FY22'!M44*(1+MYP!$I$9)</f>
        <v>153.97920000000002</v>
      </c>
      <c r="N44" s="39">
        <f>+'FY22'!N44*(1+MYP!$I$9)</f>
        <v>153.97920000000002</v>
      </c>
      <c r="O44" s="39">
        <f>+'FY22'!O44*(1+MYP!$I$9)</f>
        <v>153.97920000000002</v>
      </c>
      <c r="P44" s="39">
        <f>+'FY22'!P44*(1+MYP!$I$9)</f>
        <v>153.97920000000002</v>
      </c>
      <c r="Q44" s="36"/>
      <c r="R44" s="41"/>
      <c r="S44" s="59">
        <f t="shared" si="17"/>
        <v>1847.7504000000001</v>
      </c>
      <c r="T44" s="41"/>
      <c r="U44" s="39">
        <f>'FY22'!S44</f>
        <v>1811.5200000000002</v>
      </c>
      <c r="V44" s="39">
        <f t="shared" si="18"/>
        <v>-36.230399999999918</v>
      </c>
      <c r="W44" s="39"/>
    </row>
    <row r="45" spans="3:23" s="37" customFormat="1" ht="12" x14ac:dyDescent="0.2">
      <c r="C45" s="199">
        <v>6217</v>
      </c>
      <c r="D45" s="37" t="s">
        <v>222</v>
      </c>
      <c r="E45" s="39">
        <f>+'FY22'!E45*(1+MYP!$I$9)</f>
        <v>346.71840000000003</v>
      </c>
      <c r="F45" s="39">
        <f>+'FY22'!F45*(1+MYP!$I$9)</f>
        <v>346.71840000000003</v>
      </c>
      <c r="G45" s="39">
        <f>+'FY22'!G45*(1+MYP!$I$9)</f>
        <v>346.71840000000003</v>
      </c>
      <c r="H45" s="39">
        <f>+'FY22'!H45*(1+MYP!$I$9)</f>
        <v>346.71840000000003</v>
      </c>
      <c r="I45" s="39">
        <f>+'FY22'!I45*(1+MYP!$I$9)</f>
        <v>346.71840000000003</v>
      </c>
      <c r="J45" s="39">
        <f>+'FY22'!J45*(1+MYP!$I$9)</f>
        <v>346.71840000000003</v>
      </c>
      <c r="K45" s="39">
        <f>+'FY22'!K45*(1+MYP!$I$9)</f>
        <v>346.71840000000003</v>
      </c>
      <c r="L45" s="39">
        <f>+'FY22'!L45*(1+MYP!$I$9)</f>
        <v>346.71840000000003</v>
      </c>
      <c r="M45" s="39">
        <f>+'FY22'!M45*(1+MYP!$I$9)</f>
        <v>346.71840000000003</v>
      </c>
      <c r="N45" s="39">
        <f>+'FY22'!N45*(1+MYP!$I$9)</f>
        <v>346.71840000000003</v>
      </c>
      <c r="O45" s="39">
        <f>+'FY22'!O45*(1+MYP!$I$9)</f>
        <v>346.71840000000003</v>
      </c>
      <c r="P45" s="39">
        <f>+'FY22'!P45*(1+MYP!$I$9)</f>
        <v>346.71840000000003</v>
      </c>
      <c r="Q45" s="36"/>
      <c r="R45" s="41"/>
      <c r="S45" s="59">
        <f t="shared" si="17"/>
        <v>4160.6208000000015</v>
      </c>
      <c r="T45" s="41"/>
      <c r="U45" s="39">
        <f>'FY22'!S45</f>
        <v>4079.0400000000004</v>
      </c>
      <c r="V45" s="39">
        <f t="shared" si="18"/>
        <v>-81.580800000001091</v>
      </c>
      <c r="W45" s="39"/>
    </row>
    <row r="46" spans="3:23" s="37" customFormat="1" ht="12" x14ac:dyDescent="0.2">
      <c r="C46" s="199">
        <v>6227</v>
      </c>
      <c r="D46" s="37" t="s">
        <v>221</v>
      </c>
      <c r="E46" s="39">
        <f>+'FY22'!E46*(1+MYP!$I$9)</f>
        <v>190.07414399999999</v>
      </c>
      <c r="F46" s="39">
        <f>+'FY22'!F46*(1+MYP!$I$9)</f>
        <v>190.07414399999999</v>
      </c>
      <c r="G46" s="39">
        <f>+'FY22'!G46*(1+MYP!$I$9)</f>
        <v>190.07414399999999</v>
      </c>
      <c r="H46" s="39">
        <f>+'FY22'!H46*(1+MYP!$I$9)</f>
        <v>190.07414399999999</v>
      </c>
      <c r="I46" s="39">
        <f>+'FY22'!I46*(1+MYP!$I$9)</f>
        <v>190.07414399999999</v>
      </c>
      <c r="J46" s="39">
        <f>+'FY22'!J46*(1+MYP!$I$9)</f>
        <v>190.07414399999999</v>
      </c>
      <c r="K46" s="39">
        <f>+'FY22'!K46*(1+MYP!$I$9)</f>
        <v>190.07414399999999</v>
      </c>
      <c r="L46" s="39">
        <f>+'FY22'!L46*(1+MYP!$I$9)</f>
        <v>190.07414399999999</v>
      </c>
      <c r="M46" s="39">
        <f>+'FY22'!M46*(1+MYP!$I$9)</f>
        <v>190.07414399999999</v>
      </c>
      <c r="N46" s="39">
        <f>+'FY22'!N46*(1+MYP!$I$9)</f>
        <v>190.07414399999999</v>
      </c>
      <c r="O46" s="39">
        <f>+'FY22'!O46*(1+MYP!$I$9)</f>
        <v>190.07414399999999</v>
      </c>
      <c r="P46" s="39">
        <f>+'FY22'!P46*(1+MYP!$I$9)</f>
        <v>190.07414399999999</v>
      </c>
      <c r="Q46" s="36"/>
      <c r="R46" s="41"/>
      <c r="S46" s="59">
        <f t="shared" si="17"/>
        <v>2280.8897279999996</v>
      </c>
      <c r="T46" s="41"/>
      <c r="U46" s="39">
        <f>'FY22'!S46</f>
        <v>2236.1663999999996</v>
      </c>
      <c r="V46" s="39">
        <f t="shared" si="18"/>
        <v>-44.723328000000038</v>
      </c>
      <c r="W46" s="39"/>
    </row>
    <row r="47" spans="3:23" s="37" customFormat="1" ht="12" x14ac:dyDescent="0.2">
      <c r="C47" s="199">
        <v>6231</v>
      </c>
      <c r="D47" s="37" t="s">
        <v>205</v>
      </c>
      <c r="E47" s="39">
        <f>+'FY22'!E47*(1+MYP!$I$9)</f>
        <v>0</v>
      </c>
      <c r="F47" s="39">
        <f>+'FY22'!F47*(1+MYP!$I$9)</f>
        <v>0</v>
      </c>
      <c r="G47" s="39">
        <f>+'FY22'!G47*(1+MYP!$I$9)</f>
        <v>0</v>
      </c>
      <c r="H47" s="39">
        <f>+'FY22'!H47*(1+MYP!$I$9)</f>
        <v>0</v>
      </c>
      <c r="I47" s="39">
        <f>+'FY22'!I47*(1+MYP!$I$9)</f>
        <v>0</v>
      </c>
      <c r="J47" s="39">
        <f>+'FY22'!J47*(1+MYP!$I$9)</f>
        <v>0</v>
      </c>
      <c r="K47" s="39">
        <f>+'FY22'!K47*(1+MYP!$I$9)</f>
        <v>0</v>
      </c>
      <c r="L47" s="39">
        <f>+'FY22'!L47*(1+MYP!$I$9)</f>
        <v>0</v>
      </c>
      <c r="M47" s="39">
        <f>+'FY22'!M47*(1+MYP!$I$9)</f>
        <v>0</v>
      </c>
      <c r="N47" s="39">
        <f>+'FY22'!N47*(1+MYP!$I$9)</f>
        <v>0</v>
      </c>
      <c r="O47" s="39">
        <f>+'FY22'!O47*(1+MYP!$I$9)</f>
        <v>0</v>
      </c>
      <c r="P47" s="39">
        <f>+'FY22'!P47*(1+MYP!$I$9)</f>
        <v>0</v>
      </c>
      <c r="Q47" s="36"/>
      <c r="R47" s="41"/>
      <c r="S47" s="59">
        <f>SUM(E47:Q47)</f>
        <v>0</v>
      </c>
      <c r="T47" s="41"/>
      <c r="U47" s="39">
        <f>'FY22'!S47</f>
        <v>0</v>
      </c>
      <c r="V47" s="39">
        <f t="shared" si="18"/>
        <v>0</v>
      </c>
      <c r="W47" s="39"/>
    </row>
    <row r="48" spans="3:23" s="37" customFormat="1" ht="12" x14ac:dyDescent="0.2">
      <c r="C48" s="199">
        <v>6234</v>
      </c>
      <c r="D48" s="37" t="s">
        <v>206</v>
      </c>
      <c r="E48" s="39">
        <f>+'FY22'!E48*(1+MYP!$I$9)</f>
        <v>11099.656892475001</v>
      </c>
      <c r="F48" s="39">
        <f>+'FY22'!F48*(1+MYP!$I$9)</f>
        <v>11099.656892475001</v>
      </c>
      <c r="G48" s="39">
        <f>+'FY22'!G48*(1+MYP!$I$9)</f>
        <v>11099.656892475001</v>
      </c>
      <c r="H48" s="39">
        <f>+'FY22'!H48*(1+MYP!$I$9)</f>
        <v>11099.656892475001</v>
      </c>
      <c r="I48" s="39">
        <f>+'FY22'!I48*(1+MYP!$I$9)</f>
        <v>11099.656892475001</v>
      </c>
      <c r="J48" s="39">
        <f>+'FY22'!J48*(1+MYP!$I$9)</f>
        <v>11099.656892475001</v>
      </c>
      <c r="K48" s="39">
        <f>+'FY22'!K48*(1+MYP!$I$9)</f>
        <v>11099.656892475001</v>
      </c>
      <c r="L48" s="39">
        <f>+'FY22'!L48*(1+MYP!$I$9)</f>
        <v>11099.656892475001</v>
      </c>
      <c r="M48" s="39">
        <f>+'FY22'!M48*(1+MYP!$I$9)</f>
        <v>11099.656892475001</v>
      </c>
      <c r="N48" s="39">
        <f>+'FY22'!N48*(1+MYP!$I$9)</f>
        <v>11099.656892475001</v>
      </c>
      <c r="O48" s="39">
        <f>+'FY22'!O48*(1+MYP!$I$9)</f>
        <v>11099.656892475001</v>
      </c>
      <c r="P48" s="39">
        <f>+'FY22'!P48*(1+MYP!$I$9)</f>
        <v>11099.656892475001</v>
      </c>
      <c r="Q48" s="36"/>
      <c r="R48" s="41"/>
      <c r="S48" s="59">
        <f t="shared" si="17"/>
        <v>133195.8827097</v>
      </c>
      <c r="T48" s="41"/>
      <c r="U48" s="39">
        <f>'FY22'!S48</f>
        <v>130584.198735</v>
      </c>
      <c r="V48" s="39">
        <f t="shared" si="18"/>
        <v>-2611.6839747000049</v>
      </c>
      <c r="W48" s="39"/>
    </row>
    <row r="49" spans="3:23" s="37" customFormat="1" ht="12" x14ac:dyDescent="0.2">
      <c r="C49" s="199">
        <v>6237</v>
      </c>
      <c r="D49" s="37" t="s">
        <v>223</v>
      </c>
      <c r="E49" s="39">
        <f>+'FY22'!E49*(1+MYP!$I$9)</f>
        <v>10985.441930835752</v>
      </c>
      <c r="F49" s="39">
        <f>+'FY22'!F49*(1+MYP!$I$9)</f>
        <v>10985.441930835752</v>
      </c>
      <c r="G49" s="39">
        <f>+'FY22'!G49*(1+MYP!$I$9)</f>
        <v>10985.441930835752</v>
      </c>
      <c r="H49" s="39">
        <f>+'FY22'!H49*(1+MYP!$I$9)</f>
        <v>10985.441930835752</v>
      </c>
      <c r="I49" s="39">
        <f>+'FY22'!I49*(1+MYP!$I$9)</f>
        <v>10985.441930835752</v>
      </c>
      <c r="J49" s="39">
        <f>+'FY22'!J49*(1+MYP!$I$9)</f>
        <v>10985.441930835752</v>
      </c>
      <c r="K49" s="39">
        <f>+'FY22'!K49*(1+MYP!$I$9)</f>
        <v>10985.441930835752</v>
      </c>
      <c r="L49" s="39">
        <f>+'FY22'!L49*(1+MYP!$I$9)</f>
        <v>10985.441930835752</v>
      </c>
      <c r="M49" s="39">
        <f>+'FY22'!M49*(1+MYP!$I$9)</f>
        <v>10985.441930835752</v>
      </c>
      <c r="N49" s="39">
        <f>+'FY22'!N49*(1+MYP!$I$9)</f>
        <v>10985.441930835752</v>
      </c>
      <c r="O49" s="39">
        <f>+'FY22'!O49*(1+MYP!$I$9)</f>
        <v>10985.441930835752</v>
      </c>
      <c r="P49" s="39">
        <f>+'FY22'!P49*(1+MYP!$I$9)</f>
        <v>10985.441930835752</v>
      </c>
      <c r="Q49" s="36"/>
      <c r="R49" s="41"/>
      <c r="S49" s="59">
        <f t="shared" si="17"/>
        <v>131825.30317002899</v>
      </c>
      <c r="T49" s="41"/>
      <c r="U49" s="39">
        <f>'FY22'!S49</f>
        <v>129240.49330394999</v>
      </c>
      <c r="V49" s="39">
        <f t="shared" si="18"/>
        <v>-2584.8098660789983</v>
      </c>
      <c r="W49" s="39"/>
    </row>
    <row r="50" spans="3:23" s="37" customFormat="1" ht="12" x14ac:dyDescent="0.2">
      <c r="C50" s="199">
        <v>6241</v>
      </c>
      <c r="D50" s="37" t="s">
        <v>196</v>
      </c>
      <c r="E50" s="39">
        <f>+'FY22'!E50*(1+MYP!$I$9)</f>
        <v>0</v>
      </c>
      <c r="F50" s="39">
        <f>+'FY22'!F50*(1+MYP!$I$9)</f>
        <v>0</v>
      </c>
      <c r="G50" s="39">
        <f>+'FY22'!G50*(1+MYP!$I$9)</f>
        <v>0</v>
      </c>
      <c r="H50" s="39">
        <f>+'FY22'!H50*(1+MYP!$I$9)</f>
        <v>0</v>
      </c>
      <c r="I50" s="39">
        <f>+'FY22'!I50*(1+MYP!$I$9)</f>
        <v>0</v>
      </c>
      <c r="J50" s="39">
        <f>+'FY22'!J50*(1+MYP!$I$9)</f>
        <v>0</v>
      </c>
      <c r="K50" s="39">
        <f>+'FY22'!K50*(1+MYP!$I$9)</f>
        <v>0</v>
      </c>
      <c r="L50" s="39">
        <f>+'FY22'!L50*(1+MYP!$I$9)</f>
        <v>0</v>
      </c>
      <c r="M50" s="39">
        <f>+'FY22'!M50*(1+MYP!$I$9)</f>
        <v>0</v>
      </c>
      <c r="N50" s="39">
        <f>+'FY22'!N50*(1+MYP!$I$9)</f>
        <v>0</v>
      </c>
      <c r="O50" s="39">
        <f>+'FY22'!O50*(1+MYP!$I$9)</f>
        <v>0</v>
      </c>
      <c r="P50" s="39">
        <f>+'FY22'!P50*(1+MYP!$I$9)</f>
        <v>0</v>
      </c>
      <c r="Q50" s="36"/>
      <c r="R50" s="41"/>
      <c r="S50" s="59">
        <f t="shared" si="17"/>
        <v>0</v>
      </c>
      <c r="T50" s="41"/>
      <c r="U50" s="39">
        <f>'FY22'!S50</f>
        <v>0</v>
      </c>
      <c r="V50" s="39">
        <f t="shared" si="18"/>
        <v>0</v>
      </c>
      <c r="W50" s="39"/>
    </row>
    <row r="51" spans="3:23" s="37" customFormat="1" ht="12" x14ac:dyDescent="0.2">
      <c r="C51" s="199">
        <v>6244</v>
      </c>
      <c r="D51" s="37" t="s">
        <v>197</v>
      </c>
      <c r="E51" s="39">
        <f>+'FY22'!E51*(1+MYP!$I$9)</f>
        <v>619.55834305500002</v>
      </c>
      <c r="F51" s="39">
        <f>+'FY22'!F51*(1+MYP!$I$9)</f>
        <v>619.55834305500002</v>
      </c>
      <c r="G51" s="39">
        <f>+'FY22'!G51*(1+MYP!$I$9)</f>
        <v>630.87269305500001</v>
      </c>
      <c r="H51" s="39">
        <f>+'FY22'!H51*(1+MYP!$I$9)</f>
        <v>634.64414305500009</v>
      </c>
      <c r="I51" s="39">
        <f>+'FY22'!I51*(1+MYP!$I$9)</f>
        <v>642.18704305500012</v>
      </c>
      <c r="J51" s="39">
        <f>+'FY22'!J51*(1+MYP!$I$9)</f>
        <v>649.72994305500015</v>
      </c>
      <c r="K51" s="39">
        <f>+'FY22'!K51*(1+MYP!$I$9)</f>
        <v>649.72994305500015</v>
      </c>
      <c r="L51" s="39">
        <f>+'FY22'!L51*(1+MYP!$I$9)</f>
        <v>661.04429305500003</v>
      </c>
      <c r="M51" s="39">
        <f>+'FY22'!M51*(1+MYP!$I$9)</f>
        <v>653.50139305500011</v>
      </c>
      <c r="N51" s="39">
        <f>+'FY22'!N51*(1+MYP!$I$9)</f>
        <v>649.72994305500015</v>
      </c>
      <c r="O51" s="39">
        <f>+'FY22'!O51*(1+MYP!$I$9)</f>
        <v>649.72994305500015</v>
      </c>
      <c r="P51" s="39">
        <f>+'FY22'!P51*(1+MYP!$I$9)</f>
        <v>989.1604430550002</v>
      </c>
      <c r="Q51" s="36"/>
      <c r="R51" s="41"/>
      <c r="S51" s="59">
        <f t="shared" si="17"/>
        <v>8049.4464666600015</v>
      </c>
      <c r="T51" s="41"/>
      <c r="U51" s="39">
        <f>'FY22'!S51</f>
        <v>7891.6141830000006</v>
      </c>
      <c r="V51" s="39">
        <f t="shared" si="18"/>
        <v>-157.83228366000094</v>
      </c>
      <c r="W51" s="39"/>
    </row>
    <row r="52" spans="3:23" s="37" customFormat="1" ht="12" x14ac:dyDescent="0.2">
      <c r="C52" s="199">
        <v>6247</v>
      </c>
      <c r="D52" s="37" t="s">
        <v>224</v>
      </c>
      <c r="E52" s="39">
        <f>+'FY22'!E52*(1+MYP!$I$9)</f>
        <v>763.91636086635003</v>
      </c>
      <c r="F52" s="39">
        <f>+'FY22'!F52*(1+MYP!$I$9)</f>
        <v>829.99216486634998</v>
      </c>
      <c r="G52" s="39">
        <f>+'FY22'!G52*(1+MYP!$I$9)</f>
        <v>829.63010566635012</v>
      </c>
      <c r="H52" s="39">
        <f>+'FY22'!H52*(1+MYP!$I$9)</f>
        <v>871.71948766635001</v>
      </c>
      <c r="I52" s="39">
        <f>+'FY22'!I52*(1+MYP!$I$9)</f>
        <v>842.30217766635019</v>
      </c>
      <c r="J52" s="39">
        <f>+'FY22'!J52*(1+MYP!$I$9)</f>
        <v>813.18658366635009</v>
      </c>
      <c r="K52" s="39">
        <f>+'FY22'!K52*(1+MYP!$I$9)</f>
        <v>853.91824366635012</v>
      </c>
      <c r="L52" s="39">
        <f>+'FY22'!L52*(1+MYP!$I$9)</f>
        <v>800.51451166635002</v>
      </c>
      <c r="M52" s="39">
        <f>+'FY22'!M52*(1+MYP!$I$9)</f>
        <v>837.17300566635004</v>
      </c>
      <c r="N52" s="39">
        <f>+'FY22'!N52*(1+MYP!$I$9)</f>
        <v>866.59031566635008</v>
      </c>
      <c r="O52" s="39">
        <f>+'FY22'!O52*(1+MYP!$I$9)</f>
        <v>866.65065886635</v>
      </c>
      <c r="P52" s="39">
        <f>+'FY22'!P52*(1+MYP!$I$9)</f>
        <v>763.91636086635003</v>
      </c>
      <c r="Q52" s="36"/>
      <c r="R52" s="41"/>
      <c r="S52" s="59">
        <f t="shared" si="17"/>
        <v>9939.5099767962001</v>
      </c>
      <c r="T52" s="41"/>
      <c r="U52" s="39">
        <f>'FY22'!S52</f>
        <v>9744.6176243099999</v>
      </c>
      <c r="V52" s="39">
        <f t="shared" si="18"/>
        <v>-194.89235248620025</v>
      </c>
      <c r="W52" s="39"/>
    </row>
    <row r="53" spans="3:23" s="37" customFormat="1" ht="12" x14ac:dyDescent="0.2">
      <c r="C53" s="199">
        <v>6261</v>
      </c>
      <c r="D53" s="37" t="s">
        <v>207</v>
      </c>
      <c r="E53" s="39">
        <f>+'FY22'!E53*(1+MYP!$I$9)</f>
        <v>0</v>
      </c>
      <c r="F53" s="39">
        <f>+'FY22'!F53*(1+MYP!$I$9)</f>
        <v>0</v>
      </c>
      <c r="G53" s="39">
        <f>+'FY22'!G53*(1+MYP!$I$9)</f>
        <v>0</v>
      </c>
      <c r="H53" s="39">
        <f>+'FY22'!H53*(1+MYP!$I$9)</f>
        <v>0</v>
      </c>
      <c r="I53" s="39">
        <f>+'FY22'!I53*(1+MYP!$I$9)</f>
        <v>0</v>
      </c>
      <c r="J53" s="39">
        <f>+'FY22'!J53*(1+MYP!$I$9)</f>
        <v>0</v>
      </c>
      <c r="K53" s="39">
        <f>+'FY22'!K53*(1+MYP!$I$9)</f>
        <v>0</v>
      </c>
      <c r="L53" s="39">
        <f>+'FY22'!L53*(1+MYP!$I$9)</f>
        <v>0</v>
      </c>
      <c r="M53" s="39">
        <f>+'FY22'!M53*(1+MYP!$I$9)</f>
        <v>0</v>
      </c>
      <c r="N53" s="39">
        <f>+'FY22'!N53*(1+MYP!$I$9)</f>
        <v>0</v>
      </c>
      <c r="O53" s="39">
        <f>+'FY22'!O53*(1+MYP!$I$9)</f>
        <v>0</v>
      </c>
      <c r="P53" s="39">
        <f>+'FY22'!P53*(1+MYP!$I$9)</f>
        <v>0</v>
      </c>
      <c r="Q53" s="36"/>
      <c r="R53" s="41"/>
      <c r="S53" s="59">
        <f t="shared" si="17"/>
        <v>0</v>
      </c>
      <c r="T53" s="41"/>
      <c r="U53" s="39">
        <f>'FY22'!S53</f>
        <v>0</v>
      </c>
      <c r="V53" s="39">
        <f t="shared" si="18"/>
        <v>0</v>
      </c>
      <c r="W53" s="39"/>
    </row>
    <row r="54" spans="3:23" s="37" customFormat="1" ht="12" x14ac:dyDescent="0.2">
      <c r="C54" s="199">
        <v>6264</v>
      </c>
      <c r="D54" s="37" t="s">
        <v>208</v>
      </c>
      <c r="E54" s="39">
        <f>+'FY22'!E54*(1+MYP!$I$9)</f>
        <v>162.30240000000001</v>
      </c>
      <c r="F54" s="39">
        <f>+'FY22'!F54*(1+MYP!$I$9)</f>
        <v>162.30240000000001</v>
      </c>
      <c r="G54" s="39">
        <f>+'FY22'!G54*(1+MYP!$I$9)</f>
        <v>162.30240000000001</v>
      </c>
      <c r="H54" s="39">
        <f>+'FY22'!H54*(1+MYP!$I$9)</f>
        <v>162.30240000000001</v>
      </c>
      <c r="I54" s="39">
        <f>+'FY22'!I54*(1+MYP!$I$9)</f>
        <v>162.30240000000001</v>
      </c>
      <c r="J54" s="39">
        <f>+'FY22'!J54*(1+MYP!$I$9)</f>
        <v>162.30240000000001</v>
      </c>
      <c r="K54" s="39">
        <f>+'FY22'!K54*(1+MYP!$I$9)</f>
        <v>162.30240000000001</v>
      </c>
      <c r="L54" s="39">
        <f>+'FY22'!L54*(1+MYP!$I$9)</f>
        <v>162.30240000000001</v>
      </c>
      <c r="M54" s="39">
        <f>+'FY22'!M54*(1+MYP!$I$9)</f>
        <v>162.30240000000001</v>
      </c>
      <c r="N54" s="39">
        <f>+'FY22'!N54*(1+MYP!$I$9)</f>
        <v>162.30240000000001</v>
      </c>
      <c r="O54" s="39">
        <f>+'FY22'!O54*(1+MYP!$I$9)</f>
        <v>162.30240000000001</v>
      </c>
      <c r="P54" s="39">
        <f>+'FY22'!P54*(1+MYP!$I$9)</f>
        <v>162.30240000000001</v>
      </c>
      <c r="Q54" s="36"/>
      <c r="R54" s="41"/>
      <c r="S54" s="59">
        <f t="shared" si="17"/>
        <v>1947.6288000000002</v>
      </c>
      <c r="T54" s="41"/>
      <c r="U54" s="39">
        <f>'FY22'!S54</f>
        <v>1909.4399999999996</v>
      </c>
      <c r="V54" s="39">
        <f t="shared" si="18"/>
        <v>-38.188800000000583</v>
      </c>
      <c r="W54" s="39"/>
    </row>
    <row r="55" spans="3:23" s="37" customFormat="1" ht="12" x14ac:dyDescent="0.2">
      <c r="C55" s="199">
        <v>6267</v>
      </c>
      <c r="D55" s="37" t="s">
        <v>225</v>
      </c>
      <c r="E55" s="39">
        <f>+'FY22'!E55*(1+MYP!$I$9)</f>
        <v>456.87227999999999</v>
      </c>
      <c r="F55" s="39">
        <f>+'FY22'!F55*(1+MYP!$I$9)</f>
        <v>456.87227999999999</v>
      </c>
      <c r="G55" s="39">
        <f>+'FY22'!G55*(1+MYP!$I$9)</f>
        <v>456.87227999999999</v>
      </c>
      <c r="H55" s="39">
        <f>+'FY22'!H55*(1+MYP!$I$9)</f>
        <v>456.87227999999999</v>
      </c>
      <c r="I55" s="39">
        <f>+'FY22'!I55*(1+MYP!$I$9)</f>
        <v>456.87227999999999</v>
      </c>
      <c r="J55" s="39">
        <f>+'FY22'!J55*(1+MYP!$I$9)</f>
        <v>456.87227999999999</v>
      </c>
      <c r="K55" s="39">
        <f>+'FY22'!K55*(1+MYP!$I$9)</f>
        <v>456.87227999999999</v>
      </c>
      <c r="L55" s="39">
        <f>+'FY22'!L55*(1+MYP!$I$9)</f>
        <v>456.87227999999999</v>
      </c>
      <c r="M55" s="39">
        <f>+'FY22'!M55*(1+MYP!$I$9)</f>
        <v>456.87227999999999</v>
      </c>
      <c r="N55" s="39">
        <f>+'FY22'!N55*(1+MYP!$I$9)</f>
        <v>456.87227999999999</v>
      </c>
      <c r="O55" s="39">
        <f>+'FY22'!O55*(1+MYP!$I$9)</f>
        <v>456.87227999999999</v>
      </c>
      <c r="P55" s="39">
        <f>+'FY22'!P55*(1+MYP!$I$9)</f>
        <v>456.87227999999999</v>
      </c>
      <c r="Q55" s="36"/>
      <c r="R55" s="41"/>
      <c r="S55" s="59">
        <f t="shared" si="17"/>
        <v>5482.4673599999987</v>
      </c>
      <c r="T55" s="41"/>
      <c r="U55" s="39">
        <f>'FY22'!S55</f>
        <v>5374.967999999998</v>
      </c>
      <c r="V55" s="39">
        <f t="shared" si="18"/>
        <v>-107.49936000000071</v>
      </c>
      <c r="W55" s="39"/>
    </row>
    <row r="56" spans="3:23" s="37" customFormat="1" ht="12" x14ac:dyDescent="0.2">
      <c r="C56" s="199">
        <v>6271</v>
      </c>
      <c r="D56" s="37" t="s">
        <v>209</v>
      </c>
      <c r="E56" s="39">
        <f>+'FY22'!E56*(1+MYP!$I$9)</f>
        <v>0</v>
      </c>
      <c r="F56" s="39">
        <f>+'FY22'!F56*(1+MYP!$I$9)</f>
        <v>0</v>
      </c>
      <c r="G56" s="39">
        <f>+'FY22'!G56*(1+MYP!$I$9)</f>
        <v>0</v>
      </c>
      <c r="H56" s="39">
        <f>+'FY22'!H56*(1+MYP!$I$9)</f>
        <v>0</v>
      </c>
      <c r="I56" s="39">
        <f>+'FY22'!I56*(1+MYP!$I$9)</f>
        <v>0</v>
      </c>
      <c r="J56" s="39">
        <f>+'FY22'!J56*(1+MYP!$I$9)</f>
        <v>0</v>
      </c>
      <c r="K56" s="39">
        <f>+'FY22'!K56*(1+MYP!$I$9)</f>
        <v>0</v>
      </c>
      <c r="L56" s="39">
        <f>+'FY22'!L56*(1+MYP!$I$9)</f>
        <v>0</v>
      </c>
      <c r="M56" s="39">
        <f>+'FY22'!M56*(1+MYP!$I$9)</f>
        <v>0</v>
      </c>
      <c r="N56" s="39">
        <f>+'FY22'!N56*(1+MYP!$I$9)</f>
        <v>0</v>
      </c>
      <c r="O56" s="39">
        <f>+'FY22'!O56*(1+MYP!$I$9)</f>
        <v>0</v>
      </c>
      <c r="P56" s="39">
        <f>+'FY22'!P56*(1+MYP!$I$9)</f>
        <v>0</v>
      </c>
      <c r="Q56" s="36"/>
      <c r="R56" s="41"/>
      <c r="S56" s="59">
        <f t="shared" si="17"/>
        <v>0</v>
      </c>
      <c r="T56" s="41"/>
      <c r="U56" s="39">
        <f>'FY22'!S56</f>
        <v>0</v>
      </c>
      <c r="V56" s="39">
        <f t="shared" si="18"/>
        <v>0</v>
      </c>
      <c r="W56" s="39"/>
    </row>
    <row r="57" spans="3:23" s="37" customFormat="1" ht="12" x14ac:dyDescent="0.2">
      <c r="C57" s="199">
        <v>6274</v>
      </c>
      <c r="D57" s="37" t="s">
        <v>210</v>
      </c>
      <c r="E57" s="39">
        <f>+'FY22'!E57*(1+MYP!$I$9)</f>
        <v>346.95889942499997</v>
      </c>
      <c r="F57" s="39">
        <f>+'FY22'!F57*(1+MYP!$I$9)</f>
        <v>346.95889942499997</v>
      </c>
      <c r="G57" s="39">
        <f>+'FY22'!G57*(1+MYP!$I$9)</f>
        <v>346.95889942499997</v>
      </c>
      <c r="H57" s="39">
        <f>+'FY22'!H57*(1+MYP!$I$9)</f>
        <v>346.95889942499997</v>
      </c>
      <c r="I57" s="39">
        <f>+'FY22'!I57*(1+MYP!$I$9)</f>
        <v>346.95889942499997</v>
      </c>
      <c r="J57" s="39">
        <f>+'FY22'!J57*(1+MYP!$I$9)</f>
        <v>346.95889942499997</v>
      </c>
      <c r="K57" s="39">
        <f>+'FY22'!K57*(1+MYP!$I$9)</f>
        <v>346.95889942499997</v>
      </c>
      <c r="L57" s="39">
        <f>+'FY22'!L57*(1+MYP!$I$9)</f>
        <v>346.95889942499997</v>
      </c>
      <c r="M57" s="39">
        <f>+'FY22'!M57*(1+MYP!$I$9)</f>
        <v>346.95889942499997</v>
      </c>
      <c r="N57" s="39">
        <f>+'FY22'!N57*(1+MYP!$I$9)</f>
        <v>346.95889942499997</v>
      </c>
      <c r="O57" s="39">
        <f>+'FY22'!O57*(1+MYP!$I$9)</f>
        <v>346.95889942499997</v>
      </c>
      <c r="P57" s="39">
        <f>+'FY22'!P57*(1+MYP!$I$9)</f>
        <v>346.95889942499997</v>
      </c>
      <c r="Q57" s="36"/>
      <c r="R57" s="41"/>
      <c r="S57" s="59">
        <f t="shared" si="17"/>
        <v>4163.5067930999985</v>
      </c>
      <c r="T57" s="41"/>
      <c r="U57" s="39">
        <f>'FY22'!S57</f>
        <v>4081.8694049999995</v>
      </c>
      <c r="V57" s="39">
        <f t="shared" si="18"/>
        <v>-81.637388099999043</v>
      </c>
      <c r="W57" s="39"/>
    </row>
    <row r="58" spans="3:23" s="37" customFormat="1" ht="12" x14ac:dyDescent="0.2">
      <c r="C58" s="199">
        <v>6277</v>
      </c>
      <c r="D58" s="37" t="s">
        <v>226</v>
      </c>
      <c r="E58" s="39">
        <f>+'FY22'!E58*(1+MYP!$I$9)</f>
        <v>456.66967917225008</v>
      </c>
      <c r="F58" s="39">
        <f>+'FY22'!F58*(1+MYP!$I$9)</f>
        <v>456.66967917225008</v>
      </c>
      <c r="G58" s="39">
        <f>+'FY22'!G58*(1+MYP!$I$9)</f>
        <v>456.66967917225008</v>
      </c>
      <c r="H58" s="39">
        <f>+'FY22'!H58*(1+MYP!$I$9)</f>
        <v>456.66967917225008</v>
      </c>
      <c r="I58" s="39">
        <f>+'FY22'!I58*(1+MYP!$I$9)</f>
        <v>456.66967917225008</v>
      </c>
      <c r="J58" s="39">
        <f>+'FY22'!J58*(1+MYP!$I$9)</f>
        <v>456.66967917225008</v>
      </c>
      <c r="K58" s="39">
        <f>+'FY22'!K58*(1+MYP!$I$9)</f>
        <v>456.66967917225008</v>
      </c>
      <c r="L58" s="39">
        <f>+'FY22'!L58*(1+MYP!$I$9)</f>
        <v>456.66967917225008</v>
      </c>
      <c r="M58" s="39">
        <f>+'FY22'!M58*(1+MYP!$I$9)</f>
        <v>456.66967917225008</v>
      </c>
      <c r="N58" s="39">
        <f>+'FY22'!N58*(1+MYP!$I$9)</f>
        <v>456.66967917225008</v>
      </c>
      <c r="O58" s="39">
        <f>+'FY22'!O58*(1+MYP!$I$9)</f>
        <v>456.66967917225008</v>
      </c>
      <c r="P58" s="39">
        <f>+'FY22'!P58*(1+MYP!$I$9)</f>
        <v>456.66967917225008</v>
      </c>
      <c r="Q58" s="36"/>
      <c r="R58" s="41"/>
      <c r="S58" s="59">
        <f t="shared" si="17"/>
        <v>5480.0361500670006</v>
      </c>
      <c r="T58" s="41"/>
      <c r="U58" s="39">
        <f>'FY22'!S58</f>
        <v>5372.5844608500011</v>
      </c>
      <c r="V58" s="39">
        <f t="shared" si="18"/>
        <v>-107.45168921699951</v>
      </c>
      <c r="W58" s="39"/>
    </row>
    <row r="59" spans="3:23" s="37" customFormat="1" ht="12" x14ac:dyDescent="0.2">
      <c r="C59" s="199">
        <v>6281</v>
      </c>
      <c r="D59" s="37" t="s">
        <v>193</v>
      </c>
      <c r="E59" s="39">
        <f>+'FY22'!E59*(1+MYP!$I$9)</f>
        <v>0</v>
      </c>
      <c r="F59" s="39">
        <f>+'FY22'!F59*(1+MYP!$I$9)</f>
        <v>0</v>
      </c>
      <c r="G59" s="39">
        <f>+'FY22'!G59*(1+MYP!$I$9)</f>
        <v>0</v>
      </c>
      <c r="H59" s="39">
        <f>+'FY22'!H59*(1+MYP!$I$9)</f>
        <v>0</v>
      </c>
      <c r="I59" s="39">
        <f>+'FY22'!I59*(1+MYP!$I$9)</f>
        <v>0</v>
      </c>
      <c r="J59" s="39">
        <f>+'FY22'!J59*(1+MYP!$I$9)</f>
        <v>0</v>
      </c>
      <c r="K59" s="39">
        <f>+'FY22'!K59*(1+MYP!$I$9)</f>
        <v>0</v>
      </c>
      <c r="L59" s="39">
        <f>+'FY22'!L59*(1+MYP!$I$9)</f>
        <v>0</v>
      </c>
      <c r="M59" s="39">
        <f>+'FY22'!M59*(1+MYP!$I$9)</f>
        <v>0</v>
      </c>
      <c r="N59" s="39">
        <f>+'FY22'!N59*(1+MYP!$I$9)</f>
        <v>0</v>
      </c>
      <c r="O59" s="39">
        <f>+'FY22'!O59*(1+MYP!$I$9)</f>
        <v>0</v>
      </c>
      <c r="P59" s="39">
        <f>+'FY22'!P59*(1+MYP!$I$9)</f>
        <v>0</v>
      </c>
      <c r="Q59" s="36"/>
      <c r="R59" s="41"/>
      <c r="S59" s="59">
        <f t="shared" si="17"/>
        <v>0</v>
      </c>
      <c r="T59" s="41"/>
      <c r="U59" s="39">
        <f>'FY22'!S59</f>
        <v>0</v>
      </c>
      <c r="V59" s="39">
        <f t="shared" si="18"/>
        <v>0</v>
      </c>
      <c r="W59" s="39"/>
    </row>
    <row r="60" spans="3:23" s="37" customFormat="1" ht="12" x14ac:dyDescent="0.2">
      <c r="C60" s="199">
        <v>6284</v>
      </c>
      <c r="D60" s="37" t="s">
        <v>194</v>
      </c>
      <c r="E60" s="39">
        <f>+'FY22'!E60*(1+MYP!$I$9)</f>
        <v>1685.4480000000001</v>
      </c>
      <c r="F60" s="39">
        <f>+'FY22'!F60*(1+MYP!$I$9)</f>
        <v>1685.4480000000001</v>
      </c>
      <c r="G60" s="39">
        <f>+'FY22'!G60*(1+MYP!$I$9)</f>
        <v>1685.4480000000001</v>
      </c>
      <c r="H60" s="39">
        <f>+'FY22'!H60*(1+MYP!$I$9)</f>
        <v>1685.4480000000001</v>
      </c>
      <c r="I60" s="39">
        <f>+'FY22'!I60*(1+MYP!$I$9)</f>
        <v>1685.4480000000001</v>
      </c>
      <c r="J60" s="39">
        <f>+'FY22'!J60*(1+MYP!$I$9)</f>
        <v>1685.4480000000001</v>
      </c>
      <c r="K60" s="39">
        <f>+'FY22'!K60*(1+MYP!$I$9)</f>
        <v>1685.4480000000001</v>
      </c>
      <c r="L60" s="39">
        <f>+'FY22'!L60*(1+MYP!$I$9)</f>
        <v>1685.4480000000001</v>
      </c>
      <c r="M60" s="39">
        <f>+'FY22'!M60*(1+MYP!$I$9)</f>
        <v>1685.4480000000001</v>
      </c>
      <c r="N60" s="39">
        <f>+'FY22'!N60*(1+MYP!$I$9)</f>
        <v>1685.4480000000001</v>
      </c>
      <c r="O60" s="39">
        <f>+'FY22'!O60*(1+MYP!$I$9)</f>
        <v>1685.4480000000001</v>
      </c>
      <c r="P60" s="39">
        <f>+'FY22'!P60*(1+MYP!$I$9)</f>
        <v>1685.4480000000001</v>
      </c>
      <c r="Q60" s="98"/>
      <c r="R60" s="41"/>
      <c r="S60" s="59">
        <f t="shared" si="17"/>
        <v>20225.376</v>
      </c>
      <c r="T60" s="41"/>
      <c r="U60" s="39">
        <f>'FY22'!S60</f>
        <v>19828.800000000003</v>
      </c>
      <c r="V60" s="39">
        <f t="shared" si="18"/>
        <v>-396.57599999999729</v>
      </c>
      <c r="W60" s="39"/>
    </row>
    <row r="61" spans="3:23" s="37" customFormat="1" ht="12" x14ac:dyDescent="0.2">
      <c r="C61" s="199">
        <v>6287</v>
      </c>
      <c r="D61" s="37" t="s">
        <v>227</v>
      </c>
      <c r="E61" s="39">
        <f>+'FY22'!E61*(1+MYP!$I$9)</f>
        <v>3799.2960000000003</v>
      </c>
      <c r="F61" s="39">
        <f>+'FY22'!F61*(1+MYP!$I$9)</f>
        <v>3799.2960000000003</v>
      </c>
      <c r="G61" s="39">
        <f>+'FY22'!G61*(1+MYP!$I$9)</f>
        <v>3799.2960000000003</v>
      </c>
      <c r="H61" s="39">
        <f>+'FY22'!H61*(1+MYP!$I$9)</f>
        <v>3799.2960000000003</v>
      </c>
      <c r="I61" s="39">
        <f>+'FY22'!I61*(1+MYP!$I$9)</f>
        <v>3799.2960000000003</v>
      </c>
      <c r="J61" s="39">
        <f>+'FY22'!J61*(1+MYP!$I$9)</f>
        <v>3799.2960000000003</v>
      </c>
      <c r="K61" s="39">
        <f>+'FY22'!K61*(1+MYP!$I$9)</f>
        <v>3799.2960000000003</v>
      </c>
      <c r="L61" s="39">
        <f>+'FY22'!L61*(1+MYP!$I$9)</f>
        <v>3799.2960000000003</v>
      </c>
      <c r="M61" s="39">
        <f>+'FY22'!M61*(1+MYP!$I$9)</f>
        <v>3799.2960000000003</v>
      </c>
      <c r="N61" s="39">
        <f>+'FY22'!N61*(1+MYP!$I$9)</f>
        <v>3799.2960000000003</v>
      </c>
      <c r="O61" s="39">
        <f>+'FY22'!O61*(1+MYP!$I$9)</f>
        <v>3799.2960000000003</v>
      </c>
      <c r="P61" s="39">
        <f>+'FY22'!P61*(1+MYP!$I$9)</f>
        <v>3799.2960000000003</v>
      </c>
      <c r="Q61" s="98"/>
      <c r="R61" s="41"/>
      <c r="S61" s="59">
        <f t="shared" si="17"/>
        <v>45591.552000000018</v>
      </c>
      <c r="T61" s="41"/>
      <c r="U61" s="39">
        <f>'FY22'!S61</f>
        <v>44697.600000000006</v>
      </c>
      <c r="V61" s="39">
        <f t="shared" si="18"/>
        <v>-893.95200000001205</v>
      </c>
      <c r="W61" s="39"/>
    </row>
    <row r="62" spans="3:23" s="37" customFormat="1" ht="12" x14ac:dyDescent="0.2">
      <c r="C62" s="38"/>
      <c r="E62" s="50">
        <f t="shared" ref="E62:P62" si="19">SUBTOTAL(9,E43:E61)</f>
        <v>31066.892529829354</v>
      </c>
      <c r="F62" s="50">
        <f t="shared" si="19"/>
        <v>31132.968333829354</v>
      </c>
      <c r="G62" s="50">
        <f t="shared" si="19"/>
        <v>31143.920624629354</v>
      </c>
      <c r="H62" s="50">
        <f t="shared" si="19"/>
        <v>31189.781456629353</v>
      </c>
      <c r="I62" s="50">
        <f t="shared" si="19"/>
        <v>31167.907046629356</v>
      </c>
      <c r="J62" s="50">
        <f t="shared" si="19"/>
        <v>31146.334352629354</v>
      </c>
      <c r="K62" s="50">
        <f t="shared" si="19"/>
        <v>31187.066012629359</v>
      </c>
      <c r="L62" s="50">
        <f t="shared" si="19"/>
        <v>31144.97663062936</v>
      </c>
      <c r="M62" s="50">
        <f t="shared" si="19"/>
        <v>31174.092224629356</v>
      </c>
      <c r="N62" s="50">
        <f t="shared" si="19"/>
        <v>31199.73808462936</v>
      </c>
      <c r="O62" s="50">
        <f t="shared" si="19"/>
        <v>31199.798427829359</v>
      </c>
      <c r="P62" s="50">
        <f t="shared" si="19"/>
        <v>31436.494629829358</v>
      </c>
      <c r="Q62" s="99"/>
      <c r="R62" s="41"/>
      <c r="S62" s="61">
        <f>SUBTOTAL(9,S43:S61)</f>
        <v>374189.9703543522</v>
      </c>
      <c r="T62" s="41"/>
      <c r="U62" s="50">
        <f>SUBTOTAL(9,U43:U61)</f>
        <v>366852.91211210995</v>
      </c>
      <c r="V62" s="50">
        <f>SUBTOTAL(9,V43:V61)</f>
        <v>-7337.0582422422149</v>
      </c>
      <c r="W62" s="39"/>
    </row>
    <row r="63" spans="3:23" s="37" customFormat="1" ht="12" x14ac:dyDescent="0.2">
      <c r="C63" s="49" t="s">
        <v>9</v>
      </c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100"/>
      <c r="R63" s="41"/>
      <c r="S63" s="59"/>
      <c r="T63" s="41"/>
      <c r="U63" s="39"/>
      <c r="V63" s="39"/>
      <c r="W63" s="39"/>
    </row>
    <row r="64" spans="3:23" s="37" customFormat="1" ht="12" x14ac:dyDescent="0.2">
      <c r="C64" s="199">
        <v>6300</v>
      </c>
      <c r="D64" s="37" t="s">
        <v>9</v>
      </c>
      <c r="E64" s="39">
        <f>+'FY22'!E64*(1+MYP!$I$10)</f>
        <v>3121.2000000000003</v>
      </c>
      <c r="F64" s="39">
        <f>+'FY22'!F64*(1+MYP!$I$10)</f>
        <v>7896.6360000000004</v>
      </c>
      <c r="G64" s="39">
        <f>+'FY22'!G64*(1+MYP!$I$10)</f>
        <v>8422.0380000000005</v>
      </c>
      <c r="H64" s="39">
        <f>+'FY22'!H64*(1+MYP!$I$10)</f>
        <v>8728.9560000000001</v>
      </c>
      <c r="I64" s="39">
        <f>+'FY22'!I64*(1+MYP!$I$10)</f>
        <v>4775.4360000000006</v>
      </c>
      <c r="J64" s="39">
        <f>+'FY22'!J64*(1+MYP!$I$10)</f>
        <v>3880.692</v>
      </c>
      <c r="K64" s="39">
        <f>+'FY22'!K64*(1+MYP!$I$10)</f>
        <v>4733.82</v>
      </c>
      <c r="L64" s="39">
        <f>+'FY22'!L64*(1+MYP!$I$10)</f>
        <v>3922.308</v>
      </c>
      <c r="M64" s="39">
        <f>+'FY22'!M64*(1+MYP!$I$10)</f>
        <v>2028.78</v>
      </c>
      <c r="N64" s="39">
        <f>+'FY22'!N64*(1+MYP!$I$10)</f>
        <v>2809.08</v>
      </c>
      <c r="O64" s="39">
        <f>+'FY22'!O64*(1+MYP!$I$10)</f>
        <v>2080.8000000000002</v>
      </c>
      <c r="P64" s="39">
        <f>+'FY22'!P64*(1+MYP!$I$10)</f>
        <v>2340.9</v>
      </c>
      <c r="Q64" s="100"/>
      <c r="R64" s="41"/>
      <c r="S64" s="59">
        <f t="shared" ref="S64:S73" si="20">SUM(E64:Q64)</f>
        <v>54740.646000000008</v>
      </c>
      <c r="T64" s="41"/>
      <c r="U64" s="39">
        <f>'FY22'!S64</f>
        <v>53667.299999999996</v>
      </c>
      <c r="V64" s="39">
        <f t="shared" ref="V64:V73" si="21">U64-S64</f>
        <v>-1073.3460000000123</v>
      </c>
      <c r="W64" s="39"/>
    </row>
    <row r="65" spans="3:23" s="37" customFormat="1" ht="12" x14ac:dyDescent="0.2">
      <c r="C65" s="199">
        <v>6320</v>
      </c>
      <c r="D65" s="37" t="s">
        <v>10</v>
      </c>
      <c r="E65" s="39">
        <f>+'FY22'!E65*(1+MYP!$I$10)</f>
        <v>0</v>
      </c>
      <c r="F65" s="39">
        <f>+'FY22'!F65*(1+MYP!$I$10)</f>
        <v>0</v>
      </c>
      <c r="G65" s="39">
        <f>+'FY22'!G65*(1+MYP!$I$10)</f>
        <v>13733.28</v>
      </c>
      <c r="H65" s="39">
        <f>+'FY22'!H65*(1+MYP!$I$10)</f>
        <v>260.10000000000002</v>
      </c>
      <c r="I65" s="39">
        <f>+'FY22'!I65*(1+MYP!$I$10)</f>
        <v>0</v>
      </c>
      <c r="J65" s="39">
        <f>+'FY22'!J65*(1+MYP!$I$10)</f>
        <v>0</v>
      </c>
      <c r="K65" s="39">
        <f>+'FY22'!K65*(1+MYP!$I$10)</f>
        <v>12484.800000000001</v>
      </c>
      <c r="L65" s="39">
        <f>+'FY22'!L65*(1+MYP!$I$10)</f>
        <v>312.12</v>
      </c>
      <c r="M65" s="39">
        <f>+'FY22'!M65*(1+MYP!$I$10)</f>
        <v>130.05000000000001</v>
      </c>
      <c r="N65" s="39">
        <f>+'FY22'!N65*(1+MYP!$I$10)</f>
        <v>12484.800000000001</v>
      </c>
      <c r="O65" s="39">
        <f>+'FY22'!O65*(1+MYP!$I$10)</f>
        <v>0</v>
      </c>
      <c r="P65" s="39">
        <f>+'FY22'!P65*(1+MYP!$I$10)</f>
        <v>12484.800000000001</v>
      </c>
      <c r="Q65" s="100"/>
      <c r="R65" s="41"/>
      <c r="S65" s="59">
        <f t="shared" si="20"/>
        <v>51889.950000000004</v>
      </c>
      <c r="T65" s="41"/>
      <c r="U65" s="39">
        <f>'FY22'!S65</f>
        <v>50872.5</v>
      </c>
      <c r="V65" s="39">
        <f t="shared" si="21"/>
        <v>-1017.4500000000044</v>
      </c>
      <c r="W65" s="39"/>
    </row>
    <row r="66" spans="3:23" s="37" customFormat="1" ht="12" x14ac:dyDescent="0.2">
      <c r="C66" s="199">
        <v>6331</v>
      </c>
      <c r="D66" s="37" t="s">
        <v>11</v>
      </c>
      <c r="E66" s="39">
        <f>+'FY22'!E66*(1+MYP!$I$10)</f>
        <v>0</v>
      </c>
      <c r="F66" s="39">
        <f>+'FY22'!F66*(1+MYP!$I$10)</f>
        <v>2080.8000000000002</v>
      </c>
      <c r="G66" s="39">
        <f>+'FY22'!G66*(1+MYP!$I$10)</f>
        <v>0</v>
      </c>
      <c r="H66" s="39">
        <f>+'FY22'!H66*(1+MYP!$I$10)</f>
        <v>0</v>
      </c>
      <c r="I66" s="39">
        <f>+'FY22'!I66*(1+MYP!$I$10)</f>
        <v>0</v>
      </c>
      <c r="J66" s="39">
        <f>+'FY22'!J66*(1+MYP!$I$10)</f>
        <v>0</v>
      </c>
      <c r="K66" s="39">
        <f>+'FY22'!K66*(1+MYP!$I$10)</f>
        <v>0</v>
      </c>
      <c r="L66" s="39">
        <f>+'FY22'!L66*(1+MYP!$I$10)</f>
        <v>0</v>
      </c>
      <c r="M66" s="39">
        <f>+'FY22'!M66*(1+MYP!$I$10)</f>
        <v>0</v>
      </c>
      <c r="N66" s="39">
        <f>+'FY22'!N66*(1+MYP!$I$10)</f>
        <v>0</v>
      </c>
      <c r="O66" s="39">
        <f>+'FY22'!O66*(1+MYP!$I$10)</f>
        <v>0</v>
      </c>
      <c r="P66" s="39">
        <f>+'FY22'!P66*(1+MYP!$I$10)</f>
        <v>0</v>
      </c>
      <c r="Q66" s="100"/>
      <c r="R66" s="41"/>
      <c r="S66" s="59">
        <f t="shared" si="20"/>
        <v>2080.8000000000002</v>
      </c>
      <c r="T66" s="41"/>
      <c r="U66" s="39">
        <f>'FY22'!S66</f>
        <v>2040</v>
      </c>
      <c r="V66" s="39">
        <f t="shared" si="21"/>
        <v>-40.800000000000182</v>
      </c>
      <c r="W66" s="39"/>
    </row>
    <row r="67" spans="3:23" s="37" customFormat="1" ht="12" x14ac:dyDescent="0.2">
      <c r="C67" s="199">
        <v>6334</v>
      </c>
      <c r="D67" s="37" t="s">
        <v>12</v>
      </c>
      <c r="E67" s="39">
        <f>+'FY22'!E67*(1+MYP!$I$10)</f>
        <v>645.048</v>
      </c>
      <c r="F67" s="39">
        <f>+'FY22'!F67*(1+MYP!$I$10)</f>
        <v>4648.5072</v>
      </c>
      <c r="G67" s="39">
        <f>+'FY22'!G67*(1+MYP!$I$10)</f>
        <v>1477.3680000000002</v>
      </c>
      <c r="H67" s="39">
        <f>+'FY22'!H67*(1+MYP!$I$10)</f>
        <v>2101.6080000000002</v>
      </c>
      <c r="I67" s="39">
        <f>+'FY22'!I67*(1+MYP!$I$10)</f>
        <v>645.048</v>
      </c>
      <c r="J67" s="39">
        <f>+'FY22'!J67*(1+MYP!$I$10)</f>
        <v>1087.2180000000001</v>
      </c>
      <c r="K67" s="39">
        <f>+'FY22'!K67*(1+MYP!$I$10)</f>
        <v>1061.2080000000001</v>
      </c>
      <c r="L67" s="39">
        <f>+'FY22'!L67*(1+MYP!$I$10)</f>
        <v>1685.4480000000001</v>
      </c>
      <c r="M67" s="39">
        <f>+'FY22'!M67*(1+MYP!$I$10)</f>
        <v>645.048</v>
      </c>
      <c r="N67" s="39">
        <f>+'FY22'!N67*(1+MYP!$I$10)</f>
        <v>1061.2080000000001</v>
      </c>
      <c r="O67" s="39">
        <f>+'FY22'!O67*(1+MYP!$I$10)</f>
        <v>645.048</v>
      </c>
      <c r="P67" s="39">
        <f>+'FY22'!P67*(1+MYP!$I$10)</f>
        <v>645.048</v>
      </c>
      <c r="Q67" s="100"/>
      <c r="R67" s="41"/>
      <c r="S67" s="59">
        <f t="shared" si="20"/>
        <v>16347.805200000006</v>
      </c>
      <c r="T67" s="41"/>
      <c r="U67" s="39">
        <f>'FY22'!S67</f>
        <v>16027.259999999997</v>
      </c>
      <c r="V67" s="39">
        <f t="shared" si="21"/>
        <v>-320.54520000000957</v>
      </c>
      <c r="W67" s="39"/>
    </row>
    <row r="68" spans="3:23" s="37" customFormat="1" ht="12" x14ac:dyDescent="0.2">
      <c r="C68" s="199">
        <v>6336</v>
      </c>
      <c r="D68" s="37" t="s">
        <v>13</v>
      </c>
      <c r="E68" s="39">
        <f>+'FY22'!E68*(1+MYP!$I$10)</f>
        <v>26.01</v>
      </c>
      <c r="F68" s="39">
        <f>+'FY22'!F68*(1+MYP!$I$10)</f>
        <v>2522.9700000000003</v>
      </c>
      <c r="G68" s="39">
        <f>+'FY22'!G68*(1+MYP!$I$10)</f>
        <v>442.17</v>
      </c>
      <c r="H68" s="39">
        <f>+'FY22'!H68*(1+MYP!$I$10)</f>
        <v>2366.91</v>
      </c>
      <c r="I68" s="39">
        <f>+'FY22'!I68*(1+MYP!$I$10)</f>
        <v>26.01</v>
      </c>
      <c r="J68" s="39">
        <f>+'FY22'!J68*(1+MYP!$I$10)</f>
        <v>556.61400000000003</v>
      </c>
      <c r="K68" s="39">
        <f>+'FY22'!K68*(1+MYP!$I$10)</f>
        <v>26.01</v>
      </c>
      <c r="L68" s="39">
        <f>+'FY22'!L68*(1+MYP!$I$10)</f>
        <v>2366.91</v>
      </c>
      <c r="M68" s="39">
        <f>+'FY22'!M68*(1+MYP!$I$10)</f>
        <v>26.01</v>
      </c>
      <c r="N68" s="39">
        <f>+'FY22'!N68*(1+MYP!$I$10)</f>
        <v>26.01</v>
      </c>
      <c r="O68" s="39">
        <f>+'FY22'!O68*(1+MYP!$I$10)</f>
        <v>26.01</v>
      </c>
      <c r="P68" s="39">
        <f>+'FY22'!P68*(1+MYP!$I$10)</f>
        <v>26.01</v>
      </c>
      <c r="Q68" s="100"/>
      <c r="R68" s="41"/>
      <c r="S68" s="59">
        <f t="shared" si="20"/>
        <v>8437.6440000000021</v>
      </c>
      <c r="T68" s="41"/>
      <c r="U68" s="39">
        <f>'FY22'!S68</f>
        <v>8272.2000000000007</v>
      </c>
      <c r="V68" s="39">
        <f t="shared" si="21"/>
        <v>-165.44400000000132</v>
      </c>
      <c r="W68" s="39"/>
    </row>
    <row r="69" spans="3:23" s="37" customFormat="1" ht="12" x14ac:dyDescent="0.2">
      <c r="C69" s="199">
        <v>6337</v>
      </c>
      <c r="D69" s="37" t="s">
        <v>14</v>
      </c>
      <c r="E69" s="39">
        <f>+'FY22'!E69*(1+MYP!$I$10)</f>
        <v>26.01</v>
      </c>
      <c r="F69" s="39">
        <f>+'FY22'!F69*(1+MYP!$I$10)</f>
        <v>2522.9700000000003</v>
      </c>
      <c r="G69" s="39">
        <f>+'FY22'!G69*(1+MYP!$I$10)</f>
        <v>442.17</v>
      </c>
      <c r="H69" s="39">
        <f>+'FY22'!H69*(1+MYP!$I$10)</f>
        <v>2366.91</v>
      </c>
      <c r="I69" s="39">
        <f>+'FY22'!I69*(1+MYP!$I$10)</f>
        <v>26.01</v>
      </c>
      <c r="J69" s="39">
        <f>+'FY22'!J69*(1+MYP!$I$10)</f>
        <v>556.61400000000003</v>
      </c>
      <c r="K69" s="39">
        <f>+'FY22'!K69*(1+MYP!$I$10)</f>
        <v>26.01</v>
      </c>
      <c r="L69" s="39">
        <f>+'FY22'!L69*(1+MYP!$I$10)</f>
        <v>2366.91</v>
      </c>
      <c r="M69" s="39">
        <f>+'FY22'!M69*(1+MYP!$I$10)</f>
        <v>26.01</v>
      </c>
      <c r="N69" s="39">
        <f>+'FY22'!N69*(1+MYP!$I$10)</f>
        <v>26.01</v>
      </c>
      <c r="O69" s="39">
        <f>+'FY22'!O69*(1+MYP!$I$10)</f>
        <v>26.01</v>
      </c>
      <c r="P69" s="39">
        <f>+'FY22'!P69*(1+MYP!$I$10)</f>
        <v>26.01</v>
      </c>
      <c r="Q69" s="100"/>
      <c r="R69" s="41"/>
      <c r="S69" s="59">
        <f t="shared" si="20"/>
        <v>8437.6440000000021</v>
      </c>
      <c r="T69" s="41"/>
      <c r="U69" s="39">
        <f>'FY22'!S69</f>
        <v>8272.2000000000007</v>
      </c>
      <c r="V69" s="39">
        <f t="shared" si="21"/>
        <v>-165.44400000000132</v>
      </c>
      <c r="W69" s="39"/>
    </row>
    <row r="70" spans="3:23" s="37" customFormat="1" ht="12" x14ac:dyDescent="0.2">
      <c r="C70" s="199">
        <v>6340</v>
      </c>
      <c r="D70" s="37" t="s">
        <v>15</v>
      </c>
      <c r="E70" s="39">
        <f>+'FY22'!E70*(1+MYP!$I$10)</f>
        <v>104.04</v>
      </c>
      <c r="F70" s="39">
        <f>+'FY22'!F70*(1+MYP!$I$10)</f>
        <v>6606.54</v>
      </c>
      <c r="G70" s="39">
        <f>+'FY22'!G70*(1+MYP!$I$10)</f>
        <v>3849.48</v>
      </c>
      <c r="H70" s="39">
        <f>+'FY22'!H70*(1+MYP!$I$10)</f>
        <v>27934.74</v>
      </c>
      <c r="I70" s="39">
        <f>+'FY22'!I70*(1+MYP!$I$10)</f>
        <v>1976.76</v>
      </c>
      <c r="J70" s="39">
        <f>+'FY22'!J70*(1+MYP!$I$10)</f>
        <v>104.04</v>
      </c>
      <c r="K70" s="39">
        <f>+'FY22'!K70*(1+MYP!$I$10)</f>
        <v>7490.88</v>
      </c>
      <c r="L70" s="39">
        <f>+'FY22'!L70*(1+MYP!$I$10)</f>
        <v>2485.7652959999996</v>
      </c>
      <c r="M70" s="39">
        <f>+'FY22'!M70*(1+MYP!$I$10)</f>
        <v>104.04</v>
      </c>
      <c r="N70" s="39">
        <f>+'FY22'!N70*(1+MYP!$I$10)</f>
        <v>884.34</v>
      </c>
      <c r="O70" s="39">
        <f>+'FY22'!O70*(1+MYP!$I$10)</f>
        <v>2653.02</v>
      </c>
      <c r="P70" s="39">
        <f>+'FY22'!P70*(1+MYP!$I$10)</f>
        <v>10846.17</v>
      </c>
      <c r="Q70" s="100"/>
      <c r="R70" s="41"/>
      <c r="S70" s="59">
        <f t="shared" si="20"/>
        <v>65039.815295999993</v>
      </c>
      <c r="T70" s="41"/>
      <c r="U70" s="39">
        <f>'FY22'!S70</f>
        <v>63764.524799999999</v>
      </c>
      <c r="V70" s="39">
        <f t="shared" si="21"/>
        <v>-1275.2904959999942</v>
      </c>
      <c r="W70" s="39"/>
    </row>
    <row r="71" spans="3:23" s="37" customFormat="1" ht="12" x14ac:dyDescent="0.2">
      <c r="C71" s="199">
        <v>6345</v>
      </c>
      <c r="D71" s="37" t="s">
        <v>16</v>
      </c>
      <c r="E71" s="39">
        <f>+'FY22'!E71*(1+MYP!$I$10)</f>
        <v>1690.65</v>
      </c>
      <c r="F71" s="39">
        <f>+'FY22'!F71*(1+MYP!$I$10)</f>
        <v>1690.65</v>
      </c>
      <c r="G71" s="39">
        <f>+'FY22'!G71*(1+MYP!$I$10)</f>
        <v>4187.6099999999997</v>
      </c>
      <c r="H71" s="39">
        <f>+'FY22'!H71*(1+MYP!$I$10)</f>
        <v>1690.65</v>
      </c>
      <c r="I71" s="39">
        <f>+'FY22'!I71*(1+MYP!$I$10)</f>
        <v>1690.65</v>
      </c>
      <c r="J71" s="39">
        <f>+'FY22'!J71*(1+MYP!$I$10)</f>
        <v>1690.65</v>
      </c>
      <c r="K71" s="39">
        <f>+'FY22'!K71*(1+MYP!$I$10)</f>
        <v>1690.65</v>
      </c>
      <c r="L71" s="39">
        <f>+'FY22'!L71*(1+MYP!$I$10)</f>
        <v>1690.65</v>
      </c>
      <c r="M71" s="39">
        <f>+'FY22'!M71*(1+MYP!$I$10)</f>
        <v>1690.65</v>
      </c>
      <c r="N71" s="39">
        <f>+'FY22'!N71*(1+MYP!$I$10)</f>
        <v>1690.65</v>
      </c>
      <c r="O71" s="39">
        <f>+'FY22'!O71*(1+MYP!$I$10)</f>
        <v>1690.65</v>
      </c>
      <c r="P71" s="39">
        <f>+'FY22'!P71*(1+MYP!$I$10)</f>
        <v>1690.65</v>
      </c>
      <c r="Q71" s="100"/>
      <c r="R71" s="41"/>
      <c r="S71" s="59">
        <f t="shared" si="20"/>
        <v>22784.760000000002</v>
      </c>
      <c r="T71" s="41"/>
      <c r="U71" s="39">
        <f>'FY22'!S71</f>
        <v>22338</v>
      </c>
      <c r="V71" s="39">
        <f t="shared" si="21"/>
        <v>-446.76000000000204</v>
      </c>
      <c r="W71" s="39"/>
    </row>
    <row r="72" spans="3:23" s="37" customFormat="1" ht="12" x14ac:dyDescent="0.2">
      <c r="C72" s="199">
        <v>6350</v>
      </c>
      <c r="D72" s="37" t="s">
        <v>17</v>
      </c>
      <c r="E72" s="39">
        <f>+'FY22'!E72*(1+MYP!$I$10)</f>
        <v>104.04</v>
      </c>
      <c r="F72" s="39">
        <f>+'FY22'!F72*(1+MYP!$I$10)</f>
        <v>104.04</v>
      </c>
      <c r="G72" s="39">
        <f>+'FY22'!G72*(1+MYP!$I$10)</f>
        <v>884.34</v>
      </c>
      <c r="H72" s="39">
        <f>+'FY22'!H72*(1+MYP!$I$10)</f>
        <v>1404.54</v>
      </c>
      <c r="I72" s="39">
        <f>+'FY22'!I72*(1+MYP!$I$10)</f>
        <v>884.34</v>
      </c>
      <c r="J72" s="39">
        <f>+'FY22'!J72*(1+MYP!$I$10)</f>
        <v>104.04</v>
      </c>
      <c r="K72" s="39">
        <f>+'FY22'!K72*(1+MYP!$I$10)</f>
        <v>624.24</v>
      </c>
      <c r="L72" s="39">
        <f>+'FY22'!L72*(1+MYP!$I$10)</f>
        <v>1144.44</v>
      </c>
      <c r="M72" s="39">
        <f>+'FY22'!M72*(1+MYP!$I$10)</f>
        <v>624.24</v>
      </c>
      <c r="N72" s="39">
        <f>+'FY22'!N72*(1+MYP!$I$10)</f>
        <v>104.04</v>
      </c>
      <c r="O72" s="39">
        <f>+'FY22'!O72*(1+MYP!$I$10)</f>
        <v>364.14</v>
      </c>
      <c r="P72" s="39">
        <f>+'FY22'!P72*(1+MYP!$I$10)</f>
        <v>104.04</v>
      </c>
      <c r="Q72" s="100"/>
      <c r="R72" s="41"/>
      <c r="S72" s="59">
        <f t="shared" si="20"/>
        <v>6450.4800000000005</v>
      </c>
      <c r="T72" s="41"/>
      <c r="U72" s="39">
        <f>'FY22'!S72</f>
        <v>6324</v>
      </c>
      <c r="V72" s="39">
        <f t="shared" si="21"/>
        <v>-126.48000000000047</v>
      </c>
      <c r="W72" s="39"/>
    </row>
    <row r="73" spans="3:23" s="37" customFormat="1" ht="12" x14ac:dyDescent="0.2">
      <c r="C73" s="199">
        <v>6351</v>
      </c>
      <c r="D73" s="37" t="s">
        <v>18</v>
      </c>
      <c r="E73" s="39">
        <f>+'FY22'!E73*(1+MYP!$I$10)</f>
        <v>0</v>
      </c>
      <c r="F73" s="39">
        <f>+'FY22'!F73*(1+MYP!$I$10)</f>
        <v>0</v>
      </c>
      <c r="G73" s="39">
        <f>+'FY22'!G73*(1+MYP!$I$10)</f>
        <v>0</v>
      </c>
      <c r="H73" s="39">
        <f>+'FY22'!H73*(1+MYP!$I$10)</f>
        <v>24924.613104</v>
      </c>
      <c r="I73" s="39">
        <f>+'FY22'!I73*(1+MYP!$I$10)</f>
        <v>880.42809599999998</v>
      </c>
      <c r="J73" s="39">
        <f>+'FY22'!J73*(1+MYP!$I$10)</f>
        <v>0</v>
      </c>
      <c r="K73" s="39">
        <f>+'FY22'!K73*(1+MYP!$I$10)</f>
        <v>0</v>
      </c>
      <c r="L73" s="39">
        <f>+'FY22'!L73*(1+MYP!$I$10)</f>
        <v>3033.8064000000004</v>
      </c>
      <c r="M73" s="39">
        <f>+'FY22'!M73*(1+MYP!$I$10)</f>
        <v>0</v>
      </c>
      <c r="N73" s="39">
        <f>+'FY22'!N73*(1+MYP!$I$10)</f>
        <v>10299.960000000001</v>
      </c>
      <c r="O73" s="39">
        <f>+'FY22'!O73*(1+MYP!$I$10)</f>
        <v>0</v>
      </c>
      <c r="P73" s="39">
        <f>+'FY22'!P73*(1+MYP!$I$10)</f>
        <v>0</v>
      </c>
      <c r="Q73" s="100"/>
      <c r="R73" s="41"/>
      <c r="S73" s="59">
        <f t="shared" si="20"/>
        <v>39138.8076</v>
      </c>
      <c r="T73" s="41"/>
      <c r="U73" s="39">
        <f>'FY22'!S73</f>
        <v>38371.379999999997</v>
      </c>
      <c r="V73" s="39">
        <f t="shared" si="21"/>
        <v>-767.42760000000271</v>
      </c>
      <c r="W73" s="39"/>
    </row>
    <row r="74" spans="3:23" s="37" customFormat="1" ht="12" x14ac:dyDescent="0.2">
      <c r="C74" s="38"/>
      <c r="E74" s="50">
        <f>SUBTOTAL(9,E64:E73)</f>
        <v>5716.9980000000005</v>
      </c>
      <c r="F74" s="50">
        <f t="shared" ref="F74:V74" si="22">SUBTOTAL(9,F64:F73)</f>
        <v>28073.113200000007</v>
      </c>
      <c r="G74" s="50">
        <f t="shared" si="22"/>
        <v>33438.455999999991</v>
      </c>
      <c r="H74" s="50">
        <f t="shared" si="22"/>
        <v>71779.027104000008</v>
      </c>
      <c r="I74" s="50">
        <f t="shared" si="22"/>
        <v>10904.682096</v>
      </c>
      <c r="J74" s="50">
        <f t="shared" si="22"/>
        <v>7979.8679999999995</v>
      </c>
      <c r="K74" s="50">
        <f t="shared" si="22"/>
        <v>28137.618000000002</v>
      </c>
      <c r="L74" s="50">
        <f t="shared" si="22"/>
        <v>19008.357695999999</v>
      </c>
      <c r="M74" s="50">
        <f t="shared" si="22"/>
        <v>5274.8279999999995</v>
      </c>
      <c r="N74" s="50">
        <f t="shared" si="22"/>
        <v>29386.098000000005</v>
      </c>
      <c r="O74" s="50">
        <f t="shared" si="22"/>
        <v>7485.6780000000008</v>
      </c>
      <c r="P74" s="50">
        <f t="shared" si="22"/>
        <v>28163.628000000004</v>
      </c>
      <c r="Q74" s="99"/>
      <c r="R74" s="41"/>
      <c r="S74" s="61">
        <f t="shared" si="22"/>
        <v>275348.35209600005</v>
      </c>
      <c r="T74" s="41"/>
      <c r="U74" s="50">
        <f t="shared" si="22"/>
        <v>269949.36479999998</v>
      </c>
      <c r="V74" s="50">
        <f t="shared" si="22"/>
        <v>-5398.9872960000284</v>
      </c>
      <c r="W74" s="39"/>
    </row>
    <row r="75" spans="3:23" s="37" customFormat="1" ht="12" x14ac:dyDescent="0.2">
      <c r="C75" s="49" t="s">
        <v>100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100"/>
      <c r="R75" s="41"/>
      <c r="S75" s="59"/>
      <c r="T75" s="41"/>
      <c r="U75" s="39"/>
      <c r="V75" s="39"/>
      <c r="W75" s="39"/>
    </row>
    <row r="76" spans="3:23" s="37" customFormat="1" ht="12" x14ac:dyDescent="0.2">
      <c r="C76" s="199">
        <v>6410</v>
      </c>
      <c r="D76" s="37" t="s">
        <v>19</v>
      </c>
      <c r="E76" s="39">
        <f>+'FY22'!E76*(1+MYP!$I$10)</f>
        <v>0</v>
      </c>
      <c r="F76" s="39">
        <f>+'FY22'!F76*(1+MYP!$I$10)</f>
        <v>0</v>
      </c>
      <c r="G76" s="39">
        <f>+'FY22'!G76*(1+MYP!$I$10)</f>
        <v>0</v>
      </c>
      <c r="H76" s="39">
        <f>+'FY22'!H76*(1+MYP!$I$10)</f>
        <v>0</v>
      </c>
      <c r="I76" s="39">
        <f>+'FY22'!I76*(1+MYP!$I$10)</f>
        <v>0</v>
      </c>
      <c r="J76" s="39">
        <f>+'FY22'!J76*(1+MYP!$I$10)</f>
        <v>0</v>
      </c>
      <c r="K76" s="39">
        <f>+'FY22'!K76*(1+MYP!$I$10)</f>
        <v>0</v>
      </c>
      <c r="L76" s="39">
        <f>+'FY22'!L76*(1+MYP!$I$10)</f>
        <v>0</v>
      </c>
      <c r="M76" s="39">
        <f>+'FY22'!M76*(1+MYP!$I$10)</f>
        <v>0</v>
      </c>
      <c r="N76" s="39">
        <f>+'FY22'!N76*(1+MYP!$I$10)</f>
        <v>0</v>
      </c>
      <c r="O76" s="39">
        <f>+'FY22'!O76*(1+MYP!$I$10)</f>
        <v>0</v>
      </c>
      <c r="P76" s="39">
        <f>+'FY22'!P76*(1+MYP!$I$10)</f>
        <v>0</v>
      </c>
      <c r="Q76" s="100"/>
      <c r="R76" s="41"/>
      <c r="S76" s="59">
        <f t="shared" ref="S76:S79" si="23">SUM(E76:Q76)</f>
        <v>0</v>
      </c>
      <c r="T76" s="41"/>
      <c r="U76" s="39">
        <f>'FY22'!S76</f>
        <v>0</v>
      </c>
      <c r="V76" s="39">
        <f t="shared" ref="V76:V79" si="24">U76-S76</f>
        <v>0</v>
      </c>
      <c r="W76" s="39"/>
    </row>
    <row r="77" spans="3:23" s="37" customFormat="1" ht="12" x14ac:dyDescent="0.2">
      <c r="C77" s="199">
        <v>6420</v>
      </c>
      <c r="D77" s="37" t="s">
        <v>20</v>
      </c>
      <c r="E77" s="39">
        <f>+'FY22'!E77*(1+MYP!$I$10)</f>
        <v>629.44200000000001</v>
      </c>
      <c r="F77" s="39">
        <f>+'FY22'!F77*(1+MYP!$I$10)</f>
        <v>416.16</v>
      </c>
      <c r="G77" s="39">
        <f>+'FY22'!G77*(1+MYP!$I$10)</f>
        <v>416.16</v>
      </c>
      <c r="H77" s="39">
        <f>+'FY22'!H77*(1+MYP!$I$10)</f>
        <v>629.44200000000001</v>
      </c>
      <c r="I77" s="39">
        <f>+'FY22'!I77*(1+MYP!$I$10)</f>
        <v>416.16</v>
      </c>
      <c r="J77" s="39">
        <f>+'FY22'!J77*(1+MYP!$I$10)</f>
        <v>416.16</v>
      </c>
      <c r="K77" s="39">
        <f>+'FY22'!K77*(1+MYP!$I$10)</f>
        <v>629.44200000000001</v>
      </c>
      <c r="L77" s="39">
        <f>+'FY22'!L77*(1+MYP!$I$10)</f>
        <v>416.16</v>
      </c>
      <c r="M77" s="39">
        <f>+'FY22'!M77*(1+MYP!$I$10)</f>
        <v>416.16</v>
      </c>
      <c r="N77" s="39">
        <f>+'FY22'!N77*(1+MYP!$I$10)</f>
        <v>416.16</v>
      </c>
      <c r="O77" s="39">
        <f>+'FY22'!O77*(1+MYP!$I$10)</f>
        <v>629.44200000000001</v>
      </c>
      <c r="P77" s="39">
        <f>+'FY22'!P77*(1+MYP!$I$10)</f>
        <v>416.16</v>
      </c>
      <c r="Q77" s="100"/>
      <c r="R77" s="41"/>
      <c r="S77" s="59">
        <f t="shared" si="23"/>
        <v>5847.0479999999998</v>
      </c>
      <c r="T77" s="41"/>
      <c r="U77" s="39">
        <f>'FY22'!S77</f>
        <v>5732.4</v>
      </c>
      <c r="V77" s="39">
        <f t="shared" si="24"/>
        <v>-114.64800000000014</v>
      </c>
      <c r="W77" s="39"/>
    </row>
    <row r="78" spans="3:23" s="37" customFormat="1" ht="12" x14ac:dyDescent="0.2">
      <c r="C78" s="199">
        <v>6430</v>
      </c>
      <c r="D78" s="37" t="s">
        <v>21</v>
      </c>
      <c r="E78" s="39">
        <f>+'FY22'!E78*(1+MYP!$I$10)</f>
        <v>0</v>
      </c>
      <c r="F78" s="39">
        <f>+'FY22'!F78*(1+MYP!$I$10)</f>
        <v>0</v>
      </c>
      <c r="G78" s="39">
        <f>+'FY22'!G78*(1+MYP!$I$10)</f>
        <v>156.06</v>
      </c>
      <c r="H78" s="39">
        <f>+'FY22'!H78*(1+MYP!$I$10)</f>
        <v>156.06</v>
      </c>
      <c r="I78" s="39">
        <f>+'FY22'!I78*(1+MYP!$I$10)</f>
        <v>0</v>
      </c>
      <c r="J78" s="39">
        <f>+'FY22'!J78*(1+MYP!$I$10)</f>
        <v>0</v>
      </c>
      <c r="K78" s="39">
        <f>+'FY22'!K78*(1+MYP!$I$10)</f>
        <v>0</v>
      </c>
      <c r="L78" s="39">
        <f>+'FY22'!L78*(1+MYP!$I$10)</f>
        <v>0</v>
      </c>
      <c r="M78" s="39">
        <f>+'FY22'!M78*(1+MYP!$I$10)</f>
        <v>156.06</v>
      </c>
      <c r="N78" s="39">
        <f>+'FY22'!N78*(1+MYP!$I$10)</f>
        <v>156.06</v>
      </c>
      <c r="O78" s="39">
        <f>+'FY22'!O78*(1+MYP!$I$10)</f>
        <v>0</v>
      </c>
      <c r="P78" s="39">
        <f>+'FY22'!P78*(1+MYP!$I$10)</f>
        <v>0</v>
      </c>
      <c r="Q78" s="100"/>
      <c r="R78" s="41"/>
      <c r="S78" s="59">
        <f t="shared" si="23"/>
        <v>624.24</v>
      </c>
      <c r="T78" s="41"/>
      <c r="U78" s="39">
        <f>'FY22'!S78</f>
        <v>612</v>
      </c>
      <c r="V78" s="39">
        <f t="shared" si="24"/>
        <v>-12.240000000000009</v>
      </c>
      <c r="W78" s="39"/>
    </row>
    <row r="79" spans="3:23" s="37" customFormat="1" ht="12" x14ac:dyDescent="0.2">
      <c r="C79" s="199">
        <v>6441</v>
      </c>
      <c r="D79" s="37" t="s">
        <v>22</v>
      </c>
      <c r="E79" s="39">
        <f>+'FY22'!E79*(1+MYP!$I$10)</f>
        <v>5423.6052</v>
      </c>
      <c r="F79" s="39">
        <f>+'FY22'!F79*(1+MYP!$I$10)</f>
        <v>23838.685200000004</v>
      </c>
      <c r="G79" s="39">
        <f>+'FY22'!G79*(1+MYP!$I$10)</f>
        <v>8284.7052000000003</v>
      </c>
      <c r="H79" s="39">
        <f>+'FY22'!H79*(1+MYP!$I$10)</f>
        <v>8284.7052000000003</v>
      </c>
      <c r="I79" s="39">
        <f>+'FY22'!I79*(1+MYP!$I$10)</f>
        <v>8284.7052000000003</v>
      </c>
      <c r="J79" s="39">
        <f>+'FY22'!J79*(1+MYP!$I$10)</f>
        <v>5423.6052</v>
      </c>
      <c r="K79" s="39">
        <f>+'FY22'!K79*(1+MYP!$I$10)</f>
        <v>9585.2052000000003</v>
      </c>
      <c r="L79" s="39">
        <f>+'FY22'!L79*(1+MYP!$I$10)</f>
        <v>8284.7052000000003</v>
      </c>
      <c r="M79" s="39">
        <f>+'FY22'!M79*(1+MYP!$I$10)</f>
        <v>8284.7052000000003</v>
      </c>
      <c r="N79" s="39">
        <f>+'FY22'!N79*(1+MYP!$I$10)</f>
        <v>11405.905200000001</v>
      </c>
      <c r="O79" s="39">
        <f>+'FY22'!O79*(1+MYP!$I$10)</f>
        <v>5423.6052</v>
      </c>
      <c r="P79" s="39">
        <f>+'FY22'!P79*(1+MYP!$I$10)</f>
        <v>5423.6052</v>
      </c>
      <c r="Q79" s="100"/>
      <c r="R79" s="41"/>
      <c r="S79" s="59">
        <f t="shared" si="23"/>
        <v>107947.74240000002</v>
      </c>
      <c r="T79" s="41"/>
      <c r="U79" s="39">
        <f>'FY22'!S79</f>
        <v>105831.11999999998</v>
      </c>
      <c r="V79" s="39">
        <f t="shared" si="24"/>
        <v>-2116.6224000000366</v>
      </c>
      <c r="W79" s="39"/>
    </row>
    <row r="80" spans="3:23" s="37" customFormat="1" ht="12" x14ac:dyDescent="0.2">
      <c r="C80" s="38"/>
      <c r="E80" s="50">
        <f>SUBTOTAL(9,E76:E79)</f>
        <v>6053.0472</v>
      </c>
      <c r="F80" s="50">
        <f t="shared" ref="F80:V80" si="25">SUBTOTAL(9,F76:F79)</f>
        <v>24254.845200000003</v>
      </c>
      <c r="G80" s="50">
        <f t="shared" si="25"/>
        <v>8856.9251999999997</v>
      </c>
      <c r="H80" s="50">
        <f t="shared" si="25"/>
        <v>9070.2072000000007</v>
      </c>
      <c r="I80" s="50">
        <f t="shared" si="25"/>
        <v>8700.8652000000002</v>
      </c>
      <c r="J80" s="50">
        <f t="shared" si="25"/>
        <v>5839.7651999999998</v>
      </c>
      <c r="K80" s="50">
        <f t="shared" si="25"/>
        <v>10214.647199999999</v>
      </c>
      <c r="L80" s="50">
        <f t="shared" si="25"/>
        <v>8700.8652000000002</v>
      </c>
      <c r="M80" s="50">
        <f t="shared" si="25"/>
        <v>8856.9251999999997</v>
      </c>
      <c r="N80" s="50">
        <f t="shared" si="25"/>
        <v>11978.1252</v>
      </c>
      <c r="O80" s="50">
        <f t="shared" si="25"/>
        <v>6053.0472</v>
      </c>
      <c r="P80" s="50">
        <f t="shared" si="25"/>
        <v>5839.7651999999998</v>
      </c>
      <c r="Q80" s="99"/>
      <c r="R80" s="41"/>
      <c r="S80" s="61">
        <f t="shared" si="25"/>
        <v>114419.03040000002</v>
      </c>
      <c r="T80" s="41"/>
      <c r="U80" s="50">
        <f t="shared" si="25"/>
        <v>112175.51999999997</v>
      </c>
      <c r="V80" s="50">
        <f t="shared" si="25"/>
        <v>-2243.5104000000365</v>
      </c>
      <c r="W80" s="39"/>
    </row>
    <row r="81" spans="3:23" s="37" customFormat="1" ht="12" x14ac:dyDescent="0.2">
      <c r="C81" s="49" t="s">
        <v>101</v>
      </c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100"/>
      <c r="R81" s="41"/>
      <c r="S81" s="59"/>
      <c r="T81" s="41"/>
      <c r="U81" s="39"/>
      <c r="V81" s="39"/>
      <c r="W81" s="39"/>
    </row>
    <row r="82" spans="3:23" s="37" customFormat="1" ht="12" x14ac:dyDescent="0.2">
      <c r="C82" s="199">
        <v>6519</v>
      </c>
      <c r="D82" s="37" t="s">
        <v>234</v>
      </c>
      <c r="E82" s="39">
        <f>+'FY22'!E82*(1+MYP!$I$10)</f>
        <v>0</v>
      </c>
      <c r="F82" s="39">
        <f>+'FY22'!F82*(1+MYP!$I$10)</f>
        <v>0</v>
      </c>
      <c r="G82" s="39">
        <f>+'FY22'!G82*(1+MYP!$I$10)</f>
        <v>0</v>
      </c>
      <c r="H82" s="39">
        <f>+'FY22'!H82*(1+MYP!$I$10)</f>
        <v>0</v>
      </c>
      <c r="I82" s="39">
        <f>+'FY22'!I82*(1+MYP!$I$10)</f>
        <v>0</v>
      </c>
      <c r="J82" s="39">
        <f>+'FY22'!J82*(1+MYP!$I$10)</f>
        <v>0</v>
      </c>
      <c r="K82" s="39">
        <f>+'FY22'!K82*(1+MYP!$I$10)</f>
        <v>0</v>
      </c>
      <c r="L82" s="39">
        <f>+'FY22'!L82*(1+MYP!$I$10)</f>
        <v>0</v>
      </c>
      <c r="M82" s="39">
        <f>+'FY22'!M82*(1+MYP!$I$10)</f>
        <v>0</v>
      </c>
      <c r="N82" s="39">
        <f>+'FY22'!N82*(1+MYP!$I$10)</f>
        <v>0</v>
      </c>
      <c r="O82" s="39">
        <f>+'FY22'!O82*(1+MYP!$I$10)</f>
        <v>0</v>
      </c>
      <c r="P82" s="39">
        <f>+'FY22'!P82*(1+MYP!$I$10)</f>
        <v>0</v>
      </c>
      <c r="Q82" s="100"/>
      <c r="R82" s="41"/>
      <c r="S82" s="59">
        <f t="shared" ref="S82:S93" si="26">SUM(E82:Q82)</f>
        <v>0</v>
      </c>
      <c r="T82" s="41"/>
      <c r="U82" s="39">
        <f>'FY22'!S82</f>
        <v>0</v>
      </c>
      <c r="V82" s="39">
        <f t="shared" ref="V82:V93" si="27">U82-S82</f>
        <v>0</v>
      </c>
      <c r="W82" s="39"/>
    </row>
    <row r="83" spans="3:23" s="37" customFormat="1" ht="12" x14ac:dyDescent="0.2">
      <c r="C83" s="199">
        <v>6521</v>
      </c>
      <c r="D83" s="37" t="s">
        <v>24</v>
      </c>
      <c r="E83" s="39">
        <f>+'FY22'!E83*(1+MYP!$I$10)</f>
        <v>154.32600000000002</v>
      </c>
      <c r="F83" s="39">
        <f>+'FY22'!F83*(1+MYP!$I$10)</f>
        <v>154.32600000000002</v>
      </c>
      <c r="G83" s="39">
        <f>+'FY22'!G83*(1+MYP!$I$10)</f>
        <v>154.32600000000002</v>
      </c>
      <c r="H83" s="39">
        <f>+'FY22'!H83*(1+MYP!$I$10)</f>
        <v>154.32600000000002</v>
      </c>
      <c r="I83" s="39">
        <f>+'FY22'!I83*(1+MYP!$I$10)</f>
        <v>154.32600000000002</v>
      </c>
      <c r="J83" s="39">
        <f>+'FY22'!J83*(1+MYP!$I$10)</f>
        <v>154.32600000000002</v>
      </c>
      <c r="K83" s="39">
        <f>+'FY22'!K83*(1+MYP!$I$10)</f>
        <v>154.32600000000002</v>
      </c>
      <c r="L83" s="39">
        <f>+'FY22'!L83*(1+MYP!$I$10)</f>
        <v>154.32600000000002</v>
      </c>
      <c r="M83" s="39">
        <f>+'FY22'!M83*(1+MYP!$I$10)</f>
        <v>154.32600000000002</v>
      </c>
      <c r="N83" s="39">
        <f>+'FY22'!N83*(1+MYP!$I$10)</f>
        <v>154.32600000000002</v>
      </c>
      <c r="O83" s="39">
        <f>+'FY22'!O83*(1+MYP!$I$10)</f>
        <v>154.32600000000002</v>
      </c>
      <c r="P83" s="39">
        <f>+'FY22'!P83*(1+MYP!$I$10)</f>
        <v>154.32600000000002</v>
      </c>
      <c r="Q83" s="100"/>
      <c r="R83" s="41"/>
      <c r="S83" s="59">
        <f t="shared" si="26"/>
        <v>1851.9120000000003</v>
      </c>
      <c r="T83" s="41"/>
      <c r="U83" s="39">
        <f>'FY22'!S83</f>
        <v>1815.5999999999997</v>
      </c>
      <c r="V83" s="39">
        <f t="shared" si="27"/>
        <v>-36.31200000000058</v>
      </c>
      <c r="W83" s="39"/>
    </row>
    <row r="84" spans="3:23" s="37" customFormat="1" ht="12" x14ac:dyDescent="0.2">
      <c r="C84" s="199">
        <v>6522</v>
      </c>
      <c r="D84" s="37" t="s">
        <v>25</v>
      </c>
      <c r="E84" s="39">
        <f>+'FY22'!E84*(1+MYP!$I$10)</f>
        <v>2615.4789000000001</v>
      </c>
      <c r="F84" s="39">
        <f>+'FY22'!F84*(1+MYP!$I$10)</f>
        <v>2615.4789000000001</v>
      </c>
      <c r="G84" s="39">
        <f>+'FY22'!G84*(1+MYP!$I$10)</f>
        <v>2615.4789000000001</v>
      </c>
      <c r="H84" s="39">
        <f>+'FY22'!H84*(1+MYP!$I$10)</f>
        <v>2615.4789000000001</v>
      </c>
      <c r="I84" s="39">
        <f>+'FY22'!I84*(1+MYP!$I$10)</f>
        <v>2615.4789000000001</v>
      </c>
      <c r="J84" s="39">
        <f>+'FY22'!J84*(1+MYP!$I$10)</f>
        <v>2615.4789000000001</v>
      </c>
      <c r="K84" s="39">
        <f>+'FY22'!K84*(1+MYP!$I$10)</f>
        <v>2615.4789000000001</v>
      </c>
      <c r="L84" s="39">
        <f>+'FY22'!L84*(1+MYP!$I$10)</f>
        <v>2615.4789000000001</v>
      </c>
      <c r="M84" s="39">
        <f>+'FY22'!M84*(1+MYP!$I$10)</f>
        <v>2615.4789000000001</v>
      </c>
      <c r="N84" s="39">
        <f>+'FY22'!N84*(1+MYP!$I$10)</f>
        <v>2615.4789000000001</v>
      </c>
      <c r="O84" s="39">
        <f>+'FY22'!O84*(1+MYP!$I$10)</f>
        <v>2615.4789000000001</v>
      </c>
      <c r="P84" s="39">
        <f>+'FY22'!P84*(1+MYP!$I$10)</f>
        <v>2615.4789000000001</v>
      </c>
      <c r="Q84" s="100"/>
      <c r="R84" s="41"/>
      <c r="S84" s="59">
        <f t="shared" si="26"/>
        <v>31385.746800000008</v>
      </c>
      <c r="T84" s="41"/>
      <c r="U84" s="39">
        <f>'FY22'!S84</f>
        <v>30770.34</v>
      </c>
      <c r="V84" s="39">
        <f t="shared" si="27"/>
        <v>-615.40680000000793</v>
      </c>
      <c r="W84" s="39"/>
    </row>
    <row r="85" spans="3:23" s="37" customFormat="1" ht="12" x14ac:dyDescent="0.2">
      <c r="C85" s="199">
        <v>6523</v>
      </c>
      <c r="D85" s="37" t="s">
        <v>26</v>
      </c>
      <c r="E85" s="39">
        <f>+'FY22'!E85*(1+MYP!$I$10)</f>
        <v>1248.1331999999998</v>
      </c>
      <c r="F85" s="39">
        <f>+'FY22'!F85*(1+MYP!$I$10)</f>
        <v>1248.1331999999998</v>
      </c>
      <c r="G85" s="39">
        <f>+'FY22'!G85*(1+MYP!$I$10)</f>
        <v>1248.1331999999998</v>
      </c>
      <c r="H85" s="39">
        <f>+'FY22'!H85*(1+MYP!$I$10)</f>
        <v>1248.1331999999998</v>
      </c>
      <c r="I85" s="39">
        <f>+'FY22'!I85*(1+MYP!$I$10)</f>
        <v>1248.1331999999998</v>
      </c>
      <c r="J85" s="39">
        <f>+'FY22'!J85*(1+MYP!$I$10)</f>
        <v>1248.1331999999998</v>
      </c>
      <c r="K85" s="39">
        <f>+'FY22'!K85*(1+MYP!$I$10)</f>
        <v>1248.1331999999998</v>
      </c>
      <c r="L85" s="39">
        <f>+'FY22'!L85*(1+MYP!$I$10)</f>
        <v>1248.1331999999998</v>
      </c>
      <c r="M85" s="39">
        <f>+'FY22'!M85*(1+MYP!$I$10)</f>
        <v>1248.1331999999998</v>
      </c>
      <c r="N85" s="39">
        <f>+'FY22'!N85*(1+MYP!$I$10)</f>
        <v>1248.1331999999998</v>
      </c>
      <c r="O85" s="39">
        <f>+'FY22'!O85*(1+MYP!$I$10)</f>
        <v>1248.1331999999998</v>
      </c>
      <c r="P85" s="39">
        <f>+'FY22'!P85*(1+MYP!$I$10)</f>
        <v>1248.1331999999998</v>
      </c>
      <c r="Q85" s="100"/>
      <c r="R85" s="41"/>
      <c r="S85" s="59">
        <f t="shared" si="26"/>
        <v>14977.598400000001</v>
      </c>
      <c r="T85" s="41"/>
      <c r="U85" s="39">
        <f>'FY22'!S85</f>
        <v>14683.919999999998</v>
      </c>
      <c r="V85" s="39">
        <f t="shared" si="27"/>
        <v>-293.67840000000251</v>
      </c>
      <c r="W85" s="39"/>
    </row>
    <row r="86" spans="3:23" s="37" customFormat="1" ht="12" x14ac:dyDescent="0.2">
      <c r="C86" s="199">
        <v>6531</v>
      </c>
      <c r="D86" s="37" t="s">
        <v>27</v>
      </c>
      <c r="E86" s="39">
        <f>+'FY22'!E86*(1+MYP!$I$10)</f>
        <v>142.53480000000002</v>
      </c>
      <c r="F86" s="39">
        <f>+'FY22'!F86*(1+MYP!$I$10)</f>
        <v>142.53480000000002</v>
      </c>
      <c r="G86" s="39">
        <f>+'FY22'!G86*(1+MYP!$I$10)</f>
        <v>142.53480000000002</v>
      </c>
      <c r="H86" s="39">
        <f>+'FY22'!H86*(1+MYP!$I$10)</f>
        <v>142.53480000000002</v>
      </c>
      <c r="I86" s="39">
        <f>+'FY22'!I86*(1+MYP!$I$10)</f>
        <v>142.53480000000002</v>
      </c>
      <c r="J86" s="39">
        <f>+'FY22'!J86*(1+MYP!$I$10)</f>
        <v>142.53480000000002</v>
      </c>
      <c r="K86" s="39">
        <f>+'FY22'!K86*(1+MYP!$I$10)</f>
        <v>142.53480000000002</v>
      </c>
      <c r="L86" s="39">
        <f>+'FY22'!L86*(1+MYP!$I$10)</f>
        <v>142.53480000000002</v>
      </c>
      <c r="M86" s="39">
        <f>+'FY22'!M86*(1+MYP!$I$10)</f>
        <v>142.53480000000002</v>
      </c>
      <c r="N86" s="39">
        <f>+'FY22'!N86*(1+MYP!$I$10)</f>
        <v>142.53480000000002</v>
      </c>
      <c r="O86" s="39">
        <f>+'FY22'!O86*(1+MYP!$I$10)</f>
        <v>142.53480000000002</v>
      </c>
      <c r="P86" s="39">
        <f>+'FY22'!P86*(1+MYP!$I$10)</f>
        <v>4179.2867999999999</v>
      </c>
      <c r="Q86" s="100"/>
      <c r="R86" s="41"/>
      <c r="S86" s="59">
        <f t="shared" si="26"/>
        <v>5747.1695999999993</v>
      </c>
      <c r="T86" s="41"/>
      <c r="U86" s="39">
        <f>'FY22'!S86</f>
        <v>5634.4800000000005</v>
      </c>
      <c r="V86" s="39">
        <f t="shared" si="27"/>
        <v>-112.68959999999879</v>
      </c>
      <c r="W86" s="39"/>
    </row>
    <row r="87" spans="3:23" s="37" customFormat="1" ht="12" x14ac:dyDescent="0.2">
      <c r="C87" s="199">
        <v>6534</v>
      </c>
      <c r="D87" s="37" t="s">
        <v>28</v>
      </c>
      <c r="E87" s="39">
        <f>+'FY22'!E87*(1+MYP!$I$10)</f>
        <v>280.90799999999996</v>
      </c>
      <c r="F87" s="39">
        <f>+'FY22'!F87*(1+MYP!$I$10)</f>
        <v>280.90799999999996</v>
      </c>
      <c r="G87" s="39">
        <f>+'FY22'!G87*(1+MYP!$I$10)</f>
        <v>280.90799999999996</v>
      </c>
      <c r="H87" s="39">
        <f>+'FY22'!H87*(1+MYP!$I$10)</f>
        <v>280.90799999999996</v>
      </c>
      <c r="I87" s="39">
        <f>+'FY22'!I87*(1+MYP!$I$10)</f>
        <v>280.90799999999996</v>
      </c>
      <c r="J87" s="39">
        <f>+'FY22'!J87*(1+MYP!$I$10)</f>
        <v>280.90799999999996</v>
      </c>
      <c r="K87" s="39">
        <f>+'FY22'!K87*(1+MYP!$I$10)</f>
        <v>280.90799999999996</v>
      </c>
      <c r="L87" s="39">
        <f>+'FY22'!L87*(1+MYP!$I$10)</f>
        <v>280.90799999999996</v>
      </c>
      <c r="M87" s="39">
        <f>+'FY22'!M87*(1+MYP!$I$10)</f>
        <v>280.90799999999996</v>
      </c>
      <c r="N87" s="39">
        <f>+'FY22'!N87*(1+MYP!$I$10)</f>
        <v>280.90799999999996</v>
      </c>
      <c r="O87" s="39">
        <f>+'FY22'!O87*(1+MYP!$I$10)</f>
        <v>280.90799999999996</v>
      </c>
      <c r="P87" s="39">
        <f>+'FY22'!P87*(1+MYP!$I$10)</f>
        <v>280.90799999999996</v>
      </c>
      <c r="Q87" s="100"/>
      <c r="R87" s="41"/>
      <c r="S87" s="59">
        <f t="shared" si="26"/>
        <v>3370.8959999999993</v>
      </c>
      <c r="T87" s="41"/>
      <c r="U87" s="39">
        <f>'FY22'!S87</f>
        <v>3304.8000000000006</v>
      </c>
      <c r="V87" s="39">
        <f t="shared" si="27"/>
        <v>-66.095999999998639</v>
      </c>
      <c r="W87" s="39"/>
    </row>
    <row r="88" spans="3:23" s="37" customFormat="1" ht="12" x14ac:dyDescent="0.2">
      <c r="C88" s="199">
        <v>6535</v>
      </c>
      <c r="D88" s="37" t="s">
        <v>235</v>
      </c>
      <c r="E88" s="39">
        <f>+'FY22'!E88*(1+MYP!$I$10)</f>
        <v>4592.7209519999997</v>
      </c>
      <c r="F88" s="39">
        <f>+'FY22'!F88*(1+MYP!$I$10)</f>
        <v>4592.7209519999997</v>
      </c>
      <c r="G88" s="39">
        <f>+'FY22'!G88*(1+MYP!$I$10)</f>
        <v>4592.7209519999997</v>
      </c>
      <c r="H88" s="39">
        <f>+'FY22'!H88*(1+MYP!$I$10)</f>
        <v>4592.7209519999997</v>
      </c>
      <c r="I88" s="39">
        <f>+'FY22'!I88*(1+MYP!$I$10)</f>
        <v>4592.7209519999997</v>
      </c>
      <c r="J88" s="39">
        <f>+'FY22'!J88*(1+MYP!$I$10)</f>
        <v>4592.7209519999997</v>
      </c>
      <c r="K88" s="39">
        <f>+'FY22'!K88*(1+MYP!$I$10)</f>
        <v>4592.7209519999997</v>
      </c>
      <c r="L88" s="39">
        <f>+'FY22'!L88*(1+MYP!$I$10)</f>
        <v>4592.7209519999997</v>
      </c>
      <c r="M88" s="39">
        <f>+'FY22'!M88*(1+MYP!$I$10)</f>
        <v>4592.7209519999997</v>
      </c>
      <c r="N88" s="39">
        <f>+'FY22'!N88*(1+MYP!$I$10)</f>
        <v>4592.7209519999997</v>
      </c>
      <c r="O88" s="39">
        <f>+'FY22'!O88*(1+MYP!$I$10)</f>
        <v>4592.7209519999997</v>
      </c>
      <c r="P88" s="39">
        <f>+'FY22'!P88*(1+MYP!$I$10)</f>
        <v>4592.7209519999997</v>
      </c>
      <c r="Q88" s="100"/>
      <c r="R88" s="41"/>
      <c r="S88" s="59">
        <f t="shared" si="26"/>
        <v>55112.651424000011</v>
      </c>
      <c r="T88" s="41"/>
      <c r="U88" s="39">
        <f>'FY22'!S88</f>
        <v>54032.011200000001</v>
      </c>
      <c r="V88" s="39">
        <f t="shared" si="27"/>
        <v>-1080.6402240000098</v>
      </c>
      <c r="W88" s="39"/>
    </row>
    <row r="89" spans="3:23" s="37" customFormat="1" ht="12" x14ac:dyDescent="0.2">
      <c r="C89" s="199">
        <v>6540</v>
      </c>
      <c r="D89" s="37" t="s">
        <v>30</v>
      </c>
      <c r="E89" s="39">
        <f>+'FY22'!E89*(1+MYP!$I$10)</f>
        <v>832.32</v>
      </c>
      <c r="F89" s="39">
        <f>+'FY22'!F89*(1+MYP!$I$10)</f>
        <v>520.20000000000005</v>
      </c>
      <c r="G89" s="39">
        <f>+'FY22'!G89*(1+MYP!$I$10)</f>
        <v>2245.9218839999999</v>
      </c>
      <c r="H89" s="39">
        <f>+'FY22'!H89*(1+MYP!$I$10)</f>
        <v>1300.5</v>
      </c>
      <c r="I89" s="39">
        <f>+'FY22'!I89*(1+MYP!$I$10)</f>
        <v>13941.36</v>
      </c>
      <c r="J89" s="39">
        <f>+'FY22'!J89*(1+MYP!$I$10)</f>
        <v>10456.02</v>
      </c>
      <c r="K89" s="39">
        <f>+'FY22'!K89*(1+MYP!$I$10)</f>
        <v>832.32</v>
      </c>
      <c r="L89" s="39">
        <f>+'FY22'!L89*(1+MYP!$I$10)</f>
        <v>12692.880000000001</v>
      </c>
      <c r="M89" s="39">
        <f>+'FY22'!M89*(1+MYP!$I$10)</f>
        <v>2601</v>
      </c>
      <c r="N89" s="39">
        <f>+'FY22'!N89*(1+MYP!$I$10)</f>
        <v>14721.66</v>
      </c>
      <c r="O89" s="39">
        <f>+'FY22'!O89*(1+MYP!$I$10)</f>
        <v>1456.56</v>
      </c>
      <c r="P89" s="39">
        <f>+'FY22'!P89*(1+MYP!$I$10)</f>
        <v>1300.5</v>
      </c>
      <c r="Q89" s="100"/>
      <c r="R89" s="41"/>
      <c r="S89" s="59">
        <f t="shared" si="26"/>
        <v>62901.241884000003</v>
      </c>
      <c r="T89" s="41"/>
      <c r="U89" s="39">
        <f>'FY22'!S89</f>
        <v>61667.8842</v>
      </c>
      <c r="V89" s="39">
        <f t="shared" si="27"/>
        <v>-1233.3576840000023</v>
      </c>
      <c r="W89" s="39"/>
    </row>
    <row r="90" spans="3:23" s="37" customFormat="1" ht="12" x14ac:dyDescent="0.2">
      <c r="C90" s="199">
        <v>6550</v>
      </c>
      <c r="D90" s="37" t="s">
        <v>31</v>
      </c>
      <c r="E90" s="39">
        <f>+'FY22'!E90*(1+MYP!$I$10)</f>
        <v>0</v>
      </c>
      <c r="F90" s="39">
        <f>+'FY22'!F90*(1+MYP!$I$10)</f>
        <v>0</v>
      </c>
      <c r="G90" s="39">
        <f>+'FY22'!G90*(1+MYP!$I$10)</f>
        <v>646.83748800000001</v>
      </c>
      <c r="H90" s="39">
        <f>+'FY22'!H90*(1+MYP!$I$10)</f>
        <v>0</v>
      </c>
      <c r="I90" s="39">
        <f>+'FY22'!I90*(1+MYP!$I$10)</f>
        <v>0</v>
      </c>
      <c r="J90" s="39">
        <f>+'FY22'!J90*(1+MYP!$I$10)</f>
        <v>0</v>
      </c>
      <c r="K90" s="39">
        <f>+'FY22'!K90*(1+MYP!$I$10)</f>
        <v>0</v>
      </c>
      <c r="L90" s="39">
        <f>+'FY22'!L90*(1+MYP!$I$10)</f>
        <v>0</v>
      </c>
      <c r="M90" s="39">
        <f>+'FY22'!M90*(1+MYP!$I$10)</f>
        <v>0</v>
      </c>
      <c r="N90" s="39">
        <f>+'FY22'!N90*(1+MYP!$I$10)</f>
        <v>0</v>
      </c>
      <c r="O90" s="39">
        <f>+'FY22'!O90*(1+MYP!$I$10)</f>
        <v>0</v>
      </c>
      <c r="P90" s="39">
        <f>+'FY22'!P90*(1+MYP!$I$10)</f>
        <v>0</v>
      </c>
      <c r="Q90" s="100"/>
      <c r="R90" s="41"/>
      <c r="S90" s="59">
        <f t="shared" si="26"/>
        <v>646.83748800000001</v>
      </c>
      <c r="T90" s="41"/>
      <c r="U90" s="39">
        <f>'FY22'!S90</f>
        <v>634.15440000000001</v>
      </c>
      <c r="V90" s="39">
        <f t="shared" si="27"/>
        <v>-12.683087999999998</v>
      </c>
      <c r="W90" s="39"/>
    </row>
    <row r="91" spans="3:23" s="37" customFormat="1" ht="12" x14ac:dyDescent="0.2">
      <c r="C91" s="206">
        <v>6568</v>
      </c>
      <c r="D91" s="37" t="s">
        <v>186</v>
      </c>
      <c r="E91" s="39">
        <f>+'FY22'!E91*(1+MYP!$I$10)</f>
        <v>0</v>
      </c>
      <c r="F91" s="39">
        <f>+'FY22'!F91*(1+MYP!$I$10)</f>
        <v>0</v>
      </c>
      <c r="G91" s="39">
        <f>+'FY22'!G91*(1+MYP!$I$10)</f>
        <v>0</v>
      </c>
      <c r="H91" s="39">
        <f>+'FY22'!H91*(1+MYP!$I$10)</f>
        <v>0</v>
      </c>
      <c r="I91" s="39">
        <f>+'FY22'!I91*(1+MYP!$I$10)</f>
        <v>0</v>
      </c>
      <c r="J91" s="39">
        <f>+'FY22'!J91*(1+MYP!$I$10)</f>
        <v>0</v>
      </c>
      <c r="K91" s="39">
        <f>+'FY22'!K91*(1+MYP!$I$10)</f>
        <v>0</v>
      </c>
      <c r="L91" s="39">
        <f>+'FY22'!L91*(1+MYP!$I$10)</f>
        <v>0</v>
      </c>
      <c r="M91" s="39">
        <f>+'FY22'!M91*(1+MYP!$I$10)</f>
        <v>0</v>
      </c>
      <c r="N91" s="39">
        <f>+'FY22'!N91*(1+MYP!$I$10)</f>
        <v>0</v>
      </c>
      <c r="O91" s="39">
        <f>+'FY22'!O91*(1+MYP!$I$10)</f>
        <v>0</v>
      </c>
      <c r="P91" s="39">
        <f>+'FY22'!P91*(1+MYP!$I$10)</f>
        <v>0</v>
      </c>
      <c r="Q91" s="100"/>
      <c r="R91" s="41"/>
      <c r="S91" s="59">
        <f t="shared" ref="S91" si="28">SUM(E91:Q91)</f>
        <v>0</v>
      </c>
      <c r="T91" s="41"/>
      <c r="U91" s="39">
        <f>'FY22'!S91</f>
        <v>0</v>
      </c>
      <c r="V91" s="39">
        <f t="shared" ref="V91" si="29">U91-S91</f>
        <v>0</v>
      </c>
      <c r="W91" s="39"/>
    </row>
    <row r="92" spans="3:23" s="37" customFormat="1" ht="12" x14ac:dyDescent="0.2">
      <c r="C92" s="199">
        <v>6569</v>
      </c>
      <c r="D92" s="37" t="s">
        <v>32</v>
      </c>
      <c r="E92" s="39">
        <f>+'FY22'!E92*(1+MYP!$I$10)</f>
        <v>0</v>
      </c>
      <c r="F92" s="39">
        <f>+'FY22'!F92*(1+MYP!$I$10)</f>
        <v>0</v>
      </c>
      <c r="G92" s="39">
        <f>+'FY22'!G92*(1+MYP!$I$10)</f>
        <v>0</v>
      </c>
      <c r="H92" s="39">
        <f>+'FY22'!H92*(1+MYP!$I$10)</f>
        <v>0</v>
      </c>
      <c r="I92" s="39">
        <f>+'FY22'!I92*(1+MYP!$I$10)</f>
        <v>0</v>
      </c>
      <c r="J92" s="39">
        <f>+'FY22'!J92*(1+MYP!$I$10)</f>
        <v>0</v>
      </c>
      <c r="K92" s="39">
        <f>+'FY22'!K92*(1+MYP!$I$10)</f>
        <v>0</v>
      </c>
      <c r="L92" s="39">
        <f>+'FY22'!L92*(1+MYP!$I$10)</f>
        <v>0</v>
      </c>
      <c r="M92" s="39">
        <f>+'FY22'!M92*(1+MYP!$I$10)</f>
        <v>0</v>
      </c>
      <c r="N92" s="39">
        <f>+'FY22'!N92*(1+MYP!$I$10)</f>
        <v>0</v>
      </c>
      <c r="O92" s="39">
        <f>+'FY22'!O92*(1+MYP!$I$10)</f>
        <v>0</v>
      </c>
      <c r="P92" s="39">
        <f>+'FY22'!P92*(1+MYP!$I$10)</f>
        <v>0</v>
      </c>
      <c r="Q92" s="100"/>
      <c r="R92" s="41"/>
      <c r="S92" s="59">
        <f t="shared" si="26"/>
        <v>0</v>
      </c>
      <c r="T92" s="41"/>
      <c r="U92" s="39">
        <f>'FY22'!S92</f>
        <v>0</v>
      </c>
      <c r="V92" s="39">
        <f t="shared" si="27"/>
        <v>0</v>
      </c>
      <c r="W92" s="39"/>
    </row>
    <row r="93" spans="3:23" s="37" customFormat="1" ht="12" x14ac:dyDescent="0.2">
      <c r="C93" s="199">
        <v>6580</v>
      </c>
      <c r="D93" s="37" t="s">
        <v>33</v>
      </c>
      <c r="E93" s="39">
        <f>+'FY22'!E93*(1+MYP!$I$10)</f>
        <v>1248.48</v>
      </c>
      <c r="F93" s="39">
        <f>+'FY22'!F93*(1+MYP!$I$10)</f>
        <v>2080.8000000000002</v>
      </c>
      <c r="G93" s="39">
        <f>+'FY22'!G93*(1+MYP!$I$10)</f>
        <v>1248.48</v>
      </c>
      <c r="H93" s="39">
        <f>+'FY22'!H93*(1+MYP!$I$10)</f>
        <v>1248.48</v>
      </c>
      <c r="I93" s="39">
        <f>+'FY22'!I93*(1+MYP!$I$10)</f>
        <v>5930.28</v>
      </c>
      <c r="J93" s="39">
        <f>+'FY22'!J93*(1+MYP!$I$10)</f>
        <v>1929.9420000000002</v>
      </c>
      <c r="K93" s="39">
        <f>+'FY22'!K93*(1+MYP!$I$10)</f>
        <v>416.16</v>
      </c>
      <c r="L93" s="39">
        <f>+'FY22'!L93*(1+MYP!$I$10)</f>
        <v>1248.48</v>
      </c>
      <c r="M93" s="39">
        <f>+'FY22'!M93*(1+MYP!$I$10)</f>
        <v>2080.8000000000002</v>
      </c>
      <c r="N93" s="39">
        <f>+'FY22'!N93*(1+MYP!$I$10)</f>
        <v>2080.8000000000002</v>
      </c>
      <c r="O93" s="39">
        <f>+'FY22'!O93*(1+MYP!$I$10)</f>
        <v>416.16</v>
      </c>
      <c r="P93" s="39">
        <f>+'FY22'!P93*(1+MYP!$I$10)</f>
        <v>416.16</v>
      </c>
      <c r="Q93" s="100"/>
      <c r="R93" s="41"/>
      <c r="S93" s="59">
        <f t="shared" si="26"/>
        <v>20345.022000000001</v>
      </c>
      <c r="T93" s="41"/>
      <c r="U93" s="39">
        <f>'FY22'!S93</f>
        <v>19946.099999999999</v>
      </c>
      <c r="V93" s="39">
        <f t="shared" si="27"/>
        <v>-398.9220000000023</v>
      </c>
      <c r="W93" s="39"/>
    </row>
    <row r="94" spans="3:23" s="37" customFormat="1" ht="12" x14ac:dyDescent="0.2">
      <c r="C94" s="38"/>
      <c r="E94" s="50">
        <f>SUBTOTAL(9,E82:E93)</f>
        <v>11114.901851999999</v>
      </c>
      <c r="F94" s="50">
        <f t="shared" ref="F94:V94" si="30">SUBTOTAL(9,F82:F93)</f>
        <v>11635.101852</v>
      </c>
      <c r="G94" s="50">
        <f t="shared" si="30"/>
        <v>13175.341223999998</v>
      </c>
      <c r="H94" s="50">
        <f t="shared" si="30"/>
        <v>11583.081851999999</v>
      </c>
      <c r="I94" s="50">
        <f t="shared" si="30"/>
        <v>28905.741851999999</v>
      </c>
      <c r="J94" s="50">
        <f t="shared" si="30"/>
        <v>21420.063851999999</v>
      </c>
      <c r="K94" s="50">
        <f t="shared" si="30"/>
        <v>10282.581851999999</v>
      </c>
      <c r="L94" s="50">
        <f t="shared" si="30"/>
        <v>22975.461852</v>
      </c>
      <c r="M94" s="50">
        <f t="shared" si="30"/>
        <v>13715.901851999999</v>
      </c>
      <c r="N94" s="50">
        <f t="shared" si="30"/>
        <v>25836.561851999999</v>
      </c>
      <c r="O94" s="50">
        <f t="shared" si="30"/>
        <v>10906.821851999999</v>
      </c>
      <c r="P94" s="50">
        <f t="shared" si="30"/>
        <v>14787.513851999998</v>
      </c>
      <c r="Q94" s="99"/>
      <c r="R94" s="41"/>
      <c r="S94" s="61">
        <f t="shared" si="30"/>
        <v>196339.07559600001</v>
      </c>
      <c r="T94" s="41"/>
      <c r="U94" s="50">
        <f t="shared" si="30"/>
        <v>192489.2898</v>
      </c>
      <c r="V94" s="50">
        <f t="shared" si="30"/>
        <v>-3849.7857960000229</v>
      </c>
      <c r="W94" s="39"/>
    </row>
    <row r="95" spans="3:23" s="37" customFormat="1" ht="12" x14ac:dyDescent="0.2">
      <c r="C95" s="49" t="s">
        <v>102</v>
      </c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100"/>
      <c r="R95" s="41"/>
      <c r="S95" s="59"/>
      <c r="T95" s="41"/>
      <c r="U95" s="39"/>
      <c r="V95" s="39"/>
      <c r="W95" s="39"/>
    </row>
    <row r="96" spans="3:23" s="37" customFormat="1" ht="12" x14ac:dyDescent="0.2">
      <c r="C96" s="199">
        <v>6610</v>
      </c>
      <c r="D96" s="37" t="s">
        <v>34</v>
      </c>
      <c r="E96" s="39">
        <f>+'FY22'!E96*(1+MYP!$I$10)</f>
        <v>988.38</v>
      </c>
      <c r="F96" s="39">
        <f>+'FY22'!F96*(1+MYP!$I$10)</f>
        <v>1248.48</v>
      </c>
      <c r="G96" s="39">
        <f>+'FY22'!G96*(1+MYP!$I$10)</f>
        <v>988.38</v>
      </c>
      <c r="H96" s="39">
        <f>+'FY22'!H96*(1+MYP!$I$10)</f>
        <v>1134.0360000000001</v>
      </c>
      <c r="I96" s="39">
        <f>+'FY22'!I96*(1+MYP!$I$10)</f>
        <v>1248.48</v>
      </c>
      <c r="J96" s="39">
        <f>+'FY22'!J96*(1+MYP!$I$10)</f>
        <v>1134.0360000000001</v>
      </c>
      <c r="K96" s="39">
        <f>+'FY22'!K96*(1+MYP!$I$10)</f>
        <v>988.38</v>
      </c>
      <c r="L96" s="39">
        <f>+'FY22'!L96*(1+MYP!$I$10)</f>
        <v>1248.48</v>
      </c>
      <c r="M96" s="39">
        <f>+'FY22'!M96*(1+MYP!$I$10)</f>
        <v>988.38</v>
      </c>
      <c r="N96" s="39">
        <f>+'FY22'!N96*(1+MYP!$I$10)</f>
        <v>988.38</v>
      </c>
      <c r="O96" s="39">
        <f>+'FY22'!O96*(1+MYP!$I$10)</f>
        <v>1716.66</v>
      </c>
      <c r="P96" s="39">
        <f>+'FY22'!P96*(1+MYP!$I$10)</f>
        <v>988.38</v>
      </c>
      <c r="Q96" s="100"/>
      <c r="R96" s="41"/>
      <c r="S96" s="59">
        <f t="shared" ref="S96:S102" si="31">SUM(E96:Q96)</f>
        <v>13660.451999999997</v>
      </c>
      <c r="T96" s="41"/>
      <c r="U96" s="39">
        <f>'FY22'!S96</f>
        <v>13392.6</v>
      </c>
      <c r="V96" s="39">
        <f t="shared" ref="V96:V102" si="32">U96-S96</f>
        <v>-267.85199999999713</v>
      </c>
      <c r="W96" s="39"/>
    </row>
    <row r="97" spans="3:23" s="37" customFormat="1" ht="12" x14ac:dyDescent="0.2">
      <c r="C97" s="199">
        <v>6612</v>
      </c>
      <c r="D97" s="37" t="s">
        <v>35</v>
      </c>
      <c r="E97" s="39">
        <f>+'FY22'!E97*(1+MYP!$I$10)</f>
        <v>0</v>
      </c>
      <c r="F97" s="39">
        <f>+'FY22'!F97*(1+MYP!$I$10)</f>
        <v>0</v>
      </c>
      <c r="G97" s="39">
        <f>+'FY22'!G97*(1+MYP!$I$10)</f>
        <v>0</v>
      </c>
      <c r="H97" s="39">
        <f>+'FY22'!H97*(1+MYP!$I$10)</f>
        <v>0</v>
      </c>
      <c r="I97" s="39">
        <f>+'FY22'!I97*(1+MYP!$I$10)</f>
        <v>1560.6000000000001</v>
      </c>
      <c r="J97" s="39">
        <f>+'FY22'!J97*(1+MYP!$I$10)</f>
        <v>0</v>
      </c>
      <c r="K97" s="39">
        <f>+'FY22'!K97*(1+MYP!$I$10)</f>
        <v>0</v>
      </c>
      <c r="L97" s="39">
        <f>+'FY22'!L97*(1+MYP!$I$10)</f>
        <v>0</v>
      </c>
      <c r="M97" s="39">
        <f>+'FY22'!M97*(1+MYP!$I$10)</f>
        <v>0</v>
      </c>
      <c r="N97" s="39">
        <f>+'FY22'!N97*(1+MYP!$I$10)</f>
        <v>0</v>
      </c>
      <c r="O97" s="39">
        <f>+'FY22'!O97*(1+MYP!$I$10)</f>
        <v>0</v>
      </c>
      <c r="P97" s="39">
        <f>+'FY22'!P97*(1+MYP!$I$10)</f>
        <v>0</v>
      </c>
      <c r="Q97" s="100"/>
      <c r="R97" s="41"/>
      <c r="S97" s="59">
        <f t="shared" si="31"/>
        <v>1560.6000000000001</v>
      </c>
      <c r="T97" s="41"/>
      <c r="U97" s="39">
        <f>'FY22'!S97</f>
        <v>1530</v>
      </c>
      <c r="V97" s="39">
        <f t="shared" si="32"/>
        <v>-30.600000000000136</v>
      </c>
      <c r="W97" s="39"/>
    </row>
    <row r="98" spans="3:23" s="37" customFormat="1" ht="12" x14ac:dyDescent="0.2">
      <c r="C98" s="199">
        <v>6622</v>
      </c>
      <c r="D98" s="37" t="s">
        <v>36</v>
      </c>
      <c r="E98" s="39">
        <f>+'FY22'!E98*(1+MYP!$I$10)</f>
        <v>0</v>
      </c>
      <c r="F98" s="39">
        <f>+'FY22'!F98*(1+MYP!$I$10)</f>
        <v>0</v>
      </c>
      <c r="G98" s="39">
        <f>+'FY22'!G98*(1+MYP!$I$10)</f>
        <v>0</v>
      </c>
      <c r="H98" s="39">
        <f>+'FY22'!H98*(1+MYP!$I$10)</f>
        <v>0</v>
      </c>
      <c r="I98" s="39">
        <f>+'FY22'!I98*(1+MYP!$I$10)</f>
        <v>0</v>
      </c>
      <c r="J98" s="39">
        <f>+'FY22'!J98*(1+MYP!$I$10)</f>
        <v>0</v>
      </c>
      <c r="K98" s="39">
        <f>+'FY22'!K98*(1+MYP!$I$10)</f>
        <v>0</v>
      </c>
      <c r="L98" s="39">
        <f>+'FY22'!L98*(1+MYP!$I$10)</f>
        <v>0</v>
      </c>
      <c r="M98" s="39">
        <f>+'FY22'!M98*(1+MYP!$I$10)</f>
        <v>0</v>
      </c>
      <c r="N98" s="39">
        <f>+'FY22'!N98*(1+MYP!$I$10)</f>
        <v>0</v>
      </c>
      <c r="O98" s="39">
        <f>+'FY22'!O98*(1+MYP!$I$10)</f>
        <v>0</v>
      </c>
      <c r="P98" s="39">
        <f>+'FY22'!P98*(1+MYP!$I$10)</f>
        <v>0</v>
      </c>
      <c r="Q98" s="100"/>
      <c r="R98" s="41"/>
      <c r="S98" s="59">
        <f t="shared" si="31"/>
        <v>0</v>
      </c>
      <c r="T98" s="41"/>
      <c r="U98" s="39">
        <f>'FY22'!S98</f>
        <v>0</v>
      </c>
      <c r="V98" s="39">
        <f t="shared" si="32"/>
        <v>0</v>
      </c>
      <c r="W98" s="39"/>
    </row>
    <row r="99" spans="3:23" s="37" customFormat="1" ht="12" x14ac:dyDescent="0.2">
      <c r="C99" s="199">
        <v>6641</v>
      </c>
      <c r="D99" s="37" t="s">
        <v>37</v>
      </c>
      <c r="E99" s="39">
        <f>+'FY22'!E99*(1+MYP!$I$10)</f>
        <v>0</v>
      </c>
      <c r="F99" s="39">
        <f>+'FY22'!F99*(1+MYP!$I$10)</f>
        <v>0</v>
      </c>
      <c r="G99" s="39">
        <f>+'FY22'!G99*(1+MYP!$I$10)</f>
        <v>0</v>
      </c>
      <c r="H99" s="39">
        <f>+'FY22'!H99*(1+MYP!$I$10)</f>
        <v>0</v>
      </c>
      <c r="I99" s="39">
        <f>+'FY22'!I99*(1+MYP!$I$10)</f>
        <v>0</v>
      </c>
      <c r="J99" s="39">
        <f>+'FY22'!J99*(1+MYP!$I$10)</f>
        <v>0</v>
      </c>
      <c r="K99" s="39">
        <f>+'FY22'!K99*(1+MYP!$I$10)</f>
        <v>0</v>
      </c>
      <c r="L99" s="39">
        <f>+'FY22'!L99*(1+MYP!$I$10)</f>
        <v>0</v>
      </c>
      <c r="M99" s="39">
        <f>+'FY22'!M99*(1+MYP!$I$10)</f>
        <v>0</v>
      </c>
      <c r="N99" s="39">
        <f>+'FY22'!N99*(1+MYP!$I$10)</f>
        <v>0</v>
      </c>
      <c r="O99" s="39">
        <f>+'FY22'!O99*(1+MYP!$I$10)</f>
        <v>0</v>
      </c>
      <c r="P99" s="39">
        <f>+'FY22'!P99*(1+MYP!$I$10)</f>
        <v>0</v>
      </c>
      <c r="Q99" s="100"/>
      <c r="R99" s="41"/>
      <c r="S99" s="59">
        <f t="shared" si="31"/>
        <v>0</v>
      </c>
      <c r="T99" s="41"/>
      <c r="U99" s="39">
        <f>'FY22'!S99</f>
        <v>0</v>
      </c>
      <c r="V99" s="39">
        <f t="shared" si="32"/>
        <v>0</v>
      </c>
      <c r="W99" s="39"/>
    </row>
    <row r="100" spans="3:23" s="37" customFormat="1" ht="12" x14ac:dyDescent="0.2">
      <c r="C100" s="199">
        <v>6642</v>
      </c>
      <c r="D100" s="37" t="s">
        <v>38</v>
      </c>
      <c r="E100" s="39">
        <f>+'FY22'!E100*(1+MYP!$I$10)</f>
        <v>0</v>
      </c>
      <c r="F100" s="39">
        <f>+'FY22'!F100*(1+MYP!$I$10)</f>
        <v>0</v>
      </c>
      <c r="G100" s="39">
        <f>+'FY22'!G100*(1+MYP!$I$10)</f>
        <v>0</v>
      </c>
      <c r="H100" s="39">
        <f>+'FY22'!H100*(1+MYP!$I$10)</f>
        <v>0</v>
      </c>
      <c r="I100" s="39">
        <f>+'FY22'!I100*(1+MYP!$I$10)</f>
        <v>0</v>
      </c>
      <c r="J100" s="39">
        <f>+'FY22'!J100*(1+MYP!$I$10)</f>
        <v>0</v>
      </c>
      <c r="K100" s="39">
        <f>+'FY22'!K100*(1+MYP!$I$10)</f>
        <v>0</v>
      </c>
      <c r="L100" s="39">
        <f>+'FY22'!L100*(1+MYP!$I$10)</f>
        <v>0</v>
      </c>
      <c r="M100" s="39">
        <f>+'FY22'!M100*(1+MYP!$I$10)</f>
        <v>0</v>
      </c>
      <c r="N100" s="39">
        <f>+'FY22'!N100*(1+MYP!$I$10)</f>
        <v>0</v>
      </c>
      <c r="O100" s="39">
        <f>+'FY22'!O100*(1+MYP!$I$10)</f>
        <v>0</v>
      </c>
      <c r="P100" s="39">
        <f>+'FY22'!P100*(1+MYP!$I$10)</f>
        <v>0</v>
      </c>
      <c r="Q100" s="100"/>
      <c r="R100" s="41"/>
      <c r="S100" s="59">
        <f t="shared" si="31"/>
        <v>0</v>
      </c>
      <c r="T100" s="41"/>
      <c r="U100" s="39">
        <f>'FY22'!S100</f>
        <v>0</v>
      </c>
      <c r="V100" s="39">
        <f t="shared" si="32"/>
        <v>0</v>
      </c>
      <c r="W100" s="39"/>
    </row>
    <row r="101" spans="3:23" s="37" customFormat="1" ht="12" x14ac:dyDescent="0.2">
      <c r="C101" s="199">
        <v>6651</v>
      </c>
      <c r="D101" s="37" t="s">
        <v>39</v>
      </c>
      <c r="E101" s="39">
        <f>+'FY22'!E101*(1+MYP!$I$10)</f>
        <v>358.93800000000005</v>
      </c>
      <c r="F101" s="39">
        <f>+'FY22'!F101*(1+MYP!$I$10)</f>
        <v>8089.1100000000006</v>
      </c>
      <c r="G101" s="39">
        <f>+'FY22'!G101*(1+MYP!$I$10)</f>
        <v>3775.6116000000002</v>
      </c>
      <c r="H101" s="39">
        <f>+'FY22'!H101*(1+MYP!$I$10)</f>
        <v>358.93800000000005</v>
      </c>
      <c r="I101" s="39">
        <f>+'FY22'!I101*(1+MYP!$I$10)</f>
        <v>3818.268</v>
      </c>
      <c r="J101" s="39">
        <f>+'FY22'!J101*(1+MYP!$I$10)</f>
        <v>358.93800000000005</v>
      </c>
      <c r="K101" s="39">
        <f>+'FY22'!K101*(1+MYP!$I$10)</f>
        <v>23372.585999999999</v>
      </c>
      <c r="L101" s="39">
        <f>+'FY22'!L101*(1+MYP!$I$10)</f>
        <v>831.27960000000007</v>
      </c>
      <c r="M101" s="39">
        <f>+'FY22'!M101*(1+MYP!$I$10)</f>
        <v>358.93800000000005</v>
      </c>
      <c r="N101" s="39">
        <f>+'FY22'!N101*(1+MYP!$I$10)</f>
        <v>358.93800000000005</v>
      </c>
      <c r="O101" s="39">
        <f>+'FY22'!O101*(1+MYP!$I$10)</f>
        <v>358.93800000000005</v>
      </c>
      <c r="P101" s="39">
        <f>+'FY22'!P101*(1+MYP!$I$10)</f>
        <v>4884.6779999999999</v>
      </c>
      <c r="Q101" s="100"/>
      <c r="R101" s="41"/>
      <c r="S101" s="59">
        <f t="shared" si="31"/>
        <v>46925.161200000002</v>
      </c>
      <c r="T101" s="41"/>
      <c r="U101" s="39">
        <f>'FY22'!S101</f>
        <v>46005.060000000005</v>
      </c>
      <c r="V101" s="39">
        <f t="shared" si="32"/>
        <v>-920.10119999999733</v>
      </c>
      <c r="W101" s="39"/>
    </row>
    <row r="102" spans="3:23" s="37" customFormat="1" ht="12" x14ac:dyDescent="0.2">
      <c r="C102" s="199">
        <v>6652</v>
      </c>
      <c r="D102" s="37" t="s">
        <v>40</v>
      </c>
      <c r="E102" s="39">
        <f>+'FY22'!E102*(1+MYP!$I$10)</f>
        <v>0</v>
      </c>
      <c r="F102" s="39">
        <f>+'FY22'!F102*(1+MYP!$I$10)</f>
        <v>0</v>
      </c>
      <c r="G102" s="39">
        <f>+'FY22'!G102*(1+MYP!$I$10)</f>
        <v>0</v>
      </c>
      <c r="H102" s="39">
        <f>+'FY22'!H102*(1+MYP!$I$10)</f>
        <v>0</v>
      </c>
      <c r="I102" s="39">
        <f>+'FY22'!I102*(1+MYP!$I$10)</f>
        <v>0</v>
      </c>
      <c r="J102" s="39">
        <f>+'FY22'!J102*(1+MYP!$I$10)</f>
        <v>0</v>
      </c>
      <c r="K102" s="39">
        <f>+'FY22'!K102*(1+MYP!$I$10)</f>
        <v>0</v>
      </c>
      <c r="L102" s="39">
        <f>+'FY22'!L102*(1+MYP!$I$10)</f>
        <v>0</v>
      </c>
      <c r="M102" s="39">
        <f>+'FY22'!M102*(1+MYP!$I$10)</f>
        <v>0</v>
      </c>
      <c r="N102" s="39">
        <f>+'FY22'!N102*(1+MYP!$I$10)</f>
        <v>0</v>
      </c>
      <c r="O102" s="39">
        <f>+'FY22'!O102*(1+MYP!$I$10)</f>
        <v>0</v>
      </c>
      <c r="P102" s="39">
        <f>+'FY22'!P102*(1+MYP!$I$10)</f>
        <v>0</v>
      </c>
      <c r="Q102" s="100"/>
      <c r="R102" s="41"/>
      <c r="S102" s="59">
        <f t="shared" si="31"/>
        <v>0</v>
      </c>
      <c r="T102" s="41"/>
      <c r="U102" s="39">
        <f>'FY22'!S102</f>
        <v>0</v>
      </c>
      <c r="V102" s="39">
        <f t="shared" si="32"/>
        <v>0</v>
      </c>
      <c r="W102" s="39"/>
    </row>
    <row r="103" spans="3:23" s="37" customFormat="1" ht="12" x14ac:dyDescent="0.2">
      <c r="C103" s="38"/>
      <c r="E103" s="50">
        <f>SUBTOTAL(9,E96:E102)</f>
        <v>1347.318</v>
      </c>
      <c r="F103" s="50">
        <f t="shared" ref="F103:V103" si="33">SUBTOTAL(9,F96:F102)</f>
        <v>9337.59</v>
      </c>
      <c r="G103" s="50">
        <f t="shared" si="33"/>
        <v>4763.9916000000003</v>
      </c>
      <c r="H103" s="50">
        <f t="shared" si="33"/>
        <v>1492.9740000000002</v>
      </c>
      <c r="I103" s="50">
        <f t="shared" si="33"/>
        <v>6627.348</v>
      </c>
      <c r="J103" s="50">
        <f t="shared" si="33"/>
        <v>1492.9740000000002</v>
      </c>
      <c r="K103" s="50">
        <f t="shared" si="33"/>
        <v>24360.966</v>
      </c>
      <c r="L103" s="50">
        <f t="shared" si="33"/>
        <v>2079.7596000000003</v>
      </c>
      <c r="M103" s="50">
        <f t="shared" si="33"/>
        <v>1347.318</v>
      </c>
      <c r="N103" s="50">
        <f t="shared" si="33"/>
        <v>1347.318</v>
      </c>
      <c r="O103" s="50">
        <f t="shared" si="33"/>
        <v>2075.598</v>
      </c>
      <c r="P103" s="50">
        <f t="shared" si="33"/>
        <v>5873.058</v>
      </c>
      <c r="Q103" s="99"/>
      <c r="R103" s="41"/>
      <c r="S103" s="61">
        <f t="shared" si="33"/>
        <v>62146.213199999998</v>
      </c>
      <c r="T103" s="41"/>
      <c r="U103" s="50">
        <f t="shared" si="33"/>
        <v>60927.66</v>
      </c>
      <c r="V103" s="50">
        <f t="shared" si="33"/>
        <v>-1218.5531999999946</v>
      </c>
      <c r="W103" s="39"/>
    </row>
    <row r="104" spans="3:23" s="37" customFormat="1" ht="12" x14ac:dyDescent="0.2">
      <c r="C104" s="49" t="s">
        <v>103</v>
      </c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100"/>
      <c r="R104" s="41"/>
      <c r="S104" s="59"/>
      <c r="T104" s="41"/>
      <c r="U104" s="39"/>
      <c r="V104" s="39"/>
      <c r="W104" s="39"/>
    </row>
    <row r="105" spans="3:23" s="37" customFormat="1" ht="12" x14ac:dyDescent="0.2">
      <c r="C105" s="199">
        <v>6734</v>
      </c>
      <c r="D105" s="37" t="s">
        <v>41</v>
      </c>
      <c r="E105" s="39">
        <f>+'FY22'!E105*(1+MYP!$I$10)</f>
        <v>0</v>
      </c>
      <c r="F105" s="39">
        <f>+'FY22'!F105*(1+MYP!$I$10)</f>
        <v>0</v>
      </c>
      <c r="G105" s="39">
        <f>+'FY22'!G105*(1+MYP!$I$10)</f>
        <v>0</v>
      </c>
      <c r="H105" s="39">
        <f>+'FY22'!H105*(1+MYP!$I$10)</f>
        <v>0</v>
      </c>
      <c r="I105" s="39">
        <f>+'FY22'!I105*(1+MYP!$I$10)</f>
        <v>0</v>
      </c>
      <c r="J105" s="39">
        <f>+'FY22'!J105*(1+MYP!$I$10)</f>
        <v>0</v>
      </c>
      <c r="K105" s="39">
        <f>+'FY22'!K105*(1+MYP!$I$10)</f>
        <v>0</v>
      </c>
      <c r="L105" s="39">
        <f>+'FY22'!L105*(1+MYP!$I$10)</f>
        <v>0</v>
      </c>
      <c r="M105" s="39">
        <f>+'FY22'!M105*(1+MYP!$I$10)</f>
        <v>0</v>
      </c>
      <c r="N105" s="39">
        <f>+'FY22'!N105*(1+MYP!$I$10)</f>
        <v>0</v>
      </c>
      <c r="O105" s="39">
        <f>+'FY22'!O105*(1+MYP!$I$10)</f>
        <v>0</v>
      </c>
      <c r="P105" s="39">
        <f>+'FY22'!P105*(1+MYP!$I$10)</f>
        <v>0</v>
      </c>
      <c r="Q105" s="100"/>
      <c r="R105" s="41"/>
      <c r="S105" s="59">
        <f t="shared" ref="S105" si="34">SUM(E105:Q105)</f>
        <v>0</v>
      </c>
      <c r="T105" s="41"/>
      <c r="U105" s="39">
        <f>'FY22'!S105</f>
        <v>0</v>
      </c>
      <c r="V105" s="39">
        <f t="shared" ref="V105" si="35">U105-S105</f>
        <v>0</v>
      </c>
      <c r="W105" s="39"/>
    </row>
    <row r="106" spans="3:23" s="37" customFormat="1" ht="12" x14ac:dyDescent="0.2">
      <c r="C106" s="38"/>
      <c r="E106" s="50">
        <f>SUBTOTAL(9,E105)</f>
        <v>0</v>
      </c>
      <c r="F106" s="50">
        <f t="shared" ref="F106:V106" si="36">SUBTOTAL(9,F105)</f>
        <v>0</v>
      </c>
      <c r="G106" s="50">
        <f t="shared" si="36"/>
        <v>0</v>
      </c>
      <c r="H106" s="50">
        <f t="shared" si="36"/>
        <v>0</v>
      </c>
      <c r="I106" s="50">
        <f t="shared" si="36"/>
        <v>0</v>
      </c>
      <c r="J106" s="50">
        <f t="shared" si="36"/>
        <v>0</v>
      </c>
      <c r="K106" s="50">
        <f t="shared" si="36"/>
        <v>0</v>
      </c>
      <c r="L106" s="50">
        <f t="shared" si="36"/>
        <v>0</v>
      </c>
      <c r="M106" s="50">
        <f t="shared" si="36"/>
        <v>0</v>
      </c>
      <c r="N106" s="50">
        <f t="shared" si="36"/>
        <v>0</v>
      </c>
      <c r="O106" s="50">
        <f t="shared" si="36"/>
        <v>0</v>
      </c>
      <c r="P106" s="50">
        <f t="shared" si="36"/>
        <v>0</v>
      </c>
      <c r="Q106" s="99"/>
      <c r="R106" s="41"/>
      <c r="S106" s="61">
        <f t="shared" si="36"/>
        <v>0</v>
      </c>
      <c r="T106" s="41"/>
      <c r="U106" s="50">
        <f t="shared" si="36"/>
        <v>0</v>
      </c>
      <c r="V106" s="50">
        <f t="shared" si="36"/>
        <v>0</v>
      </c>
      <c r="W106" s="39"/>
    </row>
    <row r="107" spans="3:23" s="37" customFormat="1" ht="12" x14ac:dyDescent="0.2">
      <c r="C107" s="49" t="s">
        <v>104</v>
      </c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100"/>
      <c r="R107" s="41"/>
      <c r="S107" s="59"/>
      <c r="T107" s="41"/>
      <c r="U107" s="39"/>
      <c r="V107" s="39"/>
      <c r="W107" s="39"/>
    </row>
    <row r="108" spans="3:23" s="37" customFormat="1" ht="12" x14ac:dyDescent="0.2">
      <c r="C108" s="199">
        <v>6810</v>
      </c>
      <c r="D108" s="37" t="s">
        <v>42</v>
      </c>
      <c r="E108" s="39">
        <f>+'FY22'!E108*(1+MYP!$I$10)</f>
        <v>991.50120000000004</v>
      </c>
      <c r="F108" s="39">
        <f>+'FY22'!F108*(1+MYP!$I$10)</f>
        <v>2855.8980000000001</v>
      </c>
      <c r="G108" s="39">
        <f>+'FY22'!G108*(1+MYP!$I$10)</f>
        <v>9046.2780000000002</v>
      </c>
      <c r="H108" s="39">
        <f>+'FY22'!H108*(1+MYP!$I$10)</f>
        <v>306.91800000000001</v>
      </c>
      <c r="I108" s="39">
        <f>+'FY22'!I108*(1+MYP!$I$10)</f>
        <v>567.01800000000003</v>
      </c>
      <c r="J108" s="39">
        <f>+'FY22'!J108*(1+MYP!$I$10)</f>
        <v>1602.2159999999999</v>
      </c>
      <c r="K108" s="39">
        <f>+'FY22'!K108*(1+MYP!$I$10)</f>
        <v>306.91800000000001</v>
      </c>
      <c r="L108" s="39">
        <f>+'FY22'!L108*(1+MYP!$I$10)</f>
        <v>567.01800000000003</v>
      </c>
      <c r="M108" s="39">
        <f>+'FY22'!M108*(1+MYP!$I$10)</f>
        <v>306.91800000000001</v>
      </c>
      <c r="N108" s="39">
        <f>+'FY22'!N108*(1+MYP!$I$10)</f>
        <v>306.91800000000001</v>
      </c>
      <c r="O108" s="39">
        <f>+'FY22'!O108*(1+MYP!$I$10)</f>
        <v>567.01800000000003</v>
      </c>
      <c r="P108" s="39">
        <f>+'FY22'!P108*(1+MYP!$I$10)</f>
        <v>306.91800000000001</v>
      </c>
      <c r="Q108" s="100"/>
      <c r="R108" s="41"/>
      <c r="S108" s="59">
        <f t="shared" ref="S108" si="37">SUM(E108:Q108)</f>
        <v>17731.537200000002</v>
      </c>
      <c r="T108" s="41"/>
      <c r="U108" s="39">
        <f>'FY22'!S108</f>
        <v>17383.86</v>
      </c>
      <c r="V108" s="39">
        <f t="shared" ref="V108" si="38">U108-S108</f>
        <v>-347.6772000000019</v>
      </c>
      <c r="W108" s="39"/>
    </row>
    <row r="109" spans="3:23" s="37" customFormat="1" ht="12" x14ac:dyDescent="0.2">
      <c r="C109" s="38"/>
      <c r="E109" s="50">
        <f>SUBTOTAL(9,E108)</f>
        <v>991.50120000000004</v>
      </c>
      <c r="F109" s="50">
        <f t="shared" ref="F109:P109" si="39">SUBTOTAL(9,F108)</f>
        <v>2855.8980000000001</v>
      </c>
      <c r="G109" s="50">
        <f t="shared" si="39"/>
        <v>9046.2780000000002</v>
      </c>
      <c r="H109" s="50">
        <f t="shared" si="39"/>
        <v>306.91800000000001</v>
      </c>
      <c r="I109" s="50">
        <f t="shared" si="39"/>
        <v>567.01800000000003</v>
      </c>
      <c r="J109" s="50">
        <f t="shared" si="39"/>
        <v>1602.2159999999999</v>
      </c>
      <c r="K109" s="50">
        <f t="shared" si="39"/>
        <v>306.91800000000001</v>
      </c>
      <c r="L109" s="50">
        <f t="shared" si="39"/>
        <v>567.01800000000003</v>
      </c>
      <c r="M109" s="50">
        <f t="shared" si="39"/>
        <v>306.91800000000001</v>
      </c>
      <c r="N109" s="50">
        <f t="shared" si="39"/>
        <v>306.91800000000001</v>
      </c>
      <c r="O109" s="50">
        <f t="shared" si="39"/>
        <v>567.01800000000003</v>
      </c>
      <c r="P109" s="50">
        <f t="shared" si="39"/>
        <v>306.91800000000001</v>
      </c>
      <c r="Q109" s="99"/>
      <c r="R109" s="41"/>
      <c r="S109" s="61">
        <f t="shared" ref="S109" si="40">SUBTOTAL(9,S108)</f>
        <v>17731.537200000002</v>
      </c>
      <c r="T109" s="41"/>
      <c r="U109" s="50">
        <f t="shared" ref="U109:V109" si="41">SUBTOTAL(9,U108)</f>
        <v>17383.86</v>
      </c>
      <c r="V109" s="50">
        <f t="shared" si="41"/>
        <v>-347.6772000000019</v>
      </c>
      <c r="W109" s="39"/>
    </row>
    <row r="110" spans="3:23" s="45" customFormat="1" ht="12" x14ac:dyDescent="0.2">
      <c r="C110" s="49" t="s">
        <v>43</v>
      </c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101"/>
      <c r="R110" s="48"/>
      <c r="S110" s="62"/>
      <c r="T110" s="48"/>
      <c r="U110" s="48"/>
      <c r="V110" s="48"/>
      <c r="W110" s="40"/>
    </row>
    <row r="111" spans="3:23" s="37" customFormat="1" ht="12" x14ac:dyDescent="0.2">
      <c r="C111" s="199">
        <v>7306</v>
      </c>
      <c r="D111" s="37" t="s">
        <v>43</v>
      </c>
      <c r="E111" s="39">
        <f>+'FY22'!E111*(1+MYP!$I$10)</f>
        <v>0</v>
      </c>
      <c r="F111" s="39">
        <f>+'FY22'!F111*(1+MYP!$I$10)</f>
        <v>0</v>
      </c>
      <c r="G111" s="39">
        <f>+'FY22'!G111*(1+MYP!$I$10)</f>
        <v>0</v>
      </c>
      <c r="H111" s="39">
        <f>+'FY22'!H111*(1+MYP!$I$10)</f>
        <v>0</v>
      </c>
      <c r="I111" s="39">
        <f>+'FY22'!I111*(1+MYP!$I$10)</f>
        <v>0</v>
      </c>
      <c r="J111" s="39">
        <f>+'FY22'!J111*(1+MYP!$I$10)</f>
        <v>0</v>
      </c>
      <c r="K111" s="39">
        <f>+'FY22'!K111*(1+MYP!$I$10)</f>
        <v>0</v>
      </c>
      <c r="L111" s="39">
        <f>+'FY22'!L111*(1+MYP!$I$10)</f>
        <v>0</v>
      </c>
      <c r="M111" s="39">
        <f>+'FY22'!M111*(1+MYP!$I$10)</f>
        <v>0</v>
      </c>
      <c r="N111" s="39">
        <f>+'FY22'!N111*(1+MYP!$I$10)</f>
        <v>0</v>
      </c>
      <c r="O111" s="39">
        <f>+'FY22'!O111*(1+MYP!$I$10)</f>
        <v>0</v>
      </c>
      <c r="P111" s="39">
        <f>+'FY22'!P111*(1+MYP!$I$10)</f>
        <v>0</v>
      </c>
      <c r="Q111" s="100"/>
      <c r="R111" s="41"/>
      <c r="S111" s="62">
        <f t="shared" ref="S111:S112" si="42">SUM(E111:Q111)</f>
        <v>0</v>
      </c>
      <c r="T111" s="41"/>
      <c r="U111" s="41">
        <f>'FY22'!S111</f>
        <v>0</v>
      </c>
      <c r="V111" s="41">
        <f t="shared" ref="V111" si="43">U111-S111</f>
        <v>0</v>
      </c>
      <c r="W111" s="39"/>
    </row>
    <row r="112" spans="3:23" s="37" customFormat="1" ht="12" x14ac:dyDescent="0.2">
      <c r="C112" s="38">
        <v>7901</v>
      </c>
      <c r="D112" s="37" t="s">
        <v>177</v>
      </c>
      <c r="E112" s="39">
        <f>+'FY22'!E112*(1+MYP!$I$10)</f>
        <v>0</v>
      </c>
      <c r="F112" s="39">
        <f>+'FY22'!F112*(1+MYP!$I$10)</f>
        <v>0</v>
      </c>
      <c r="G112" s="39">
        <f>+'FY22'!G112*(1+MYP!$I$10)</f>
        <v>0</v>
      </c>
      <c r="H112" s="39">
        <f>+'FY22'!H112*(1+MYP!$I$10)</f>
        <v>0</v>
      </c>
      <c r="I112" s="39">
        <f>+'FY22'!I112*(1+MYP!$I$10)</f>
        <v>0</v>
      </c>
      <c r="J112" s="39">
        <f>+'FY22'!J112*(1+MYP!$I$10)</f>
        <v>0</v>
      </c>
      <c r="K112" s="39">
        <f>+'FY22'!K112*(1+MYP!$I$10)</f>
        <v>0</v>
      </c>
      <c r="L112" s="39">
        <f>+'FY22'!L112*(1+MYP!$I$10)</f>
        <v>0</v>
      </c>
      <c r="M112" s="39">
        <f>+'FY22'!M112*(1+MYP!$I$10)</f>
        <v>0</v>
      </c>
      <c r="N112" s="39">
        <f>+'FY22'!N112*(1+MYP!$I$10)</f>
        <v>0</v>
      </c>
      <c r="O112" s="39">
        <f>+'FY22'!O112*(1+MYP!$I$10)</f>
        <v>0</v>
      </c>
      <c r="P112" s="39">
        <f>+'FY22'!P112*(1+MYP!$I$10)</f>
        <v>0</v>
      </c>
      <c r="Q112" s="100"/>
      <c r="R112" s="41"/>
      <c r="S112" s="62">
        <f t="shared" si="42"/>
        <v>0</v>
      </c>
      <c r="T112" s="41"/>
      <c r="U112" s="41">
        <f>'FY22'!S112</f>
        <v>0</v>
      </c>
      <c r="V112" s="41">
        <f t="shared" ref="V112" si="44">U112-S112</f>
        <v>0</v>
      </c>
      <c r="W112" s="39"/>
    </row>
    <row r="113" spans="1:23" s="37" customFormat="1" ht="12" x14ac:dyDescent="0.2">
      <c r="C113" s="38"/>
      <c r="E113" s="50">
        <f>SUBTOTAL(9,E111:E112)</f>
        <v>0</v>
      </c>
      <c r="F113" s="50">
        <f t="shared" ref="F113:P113" si="45">SUBTOTAL(9,F111:F112)</f>
        <v>0</v>
      </c>
      <c r="G113" s="50">
        <f t="shared" si="45"/>
        <v>0</v>
      </c>
      <c r="H113" s="50">
        <f t="shared" si="45"/>
        <v>0</v>
      </c>
      <c r="I113" s="50">
        <f t="shared" si="45"/>
        <v>0</v>
      </c>
      <c r="J113" s="50">
        <f t="shared" si="45"/>
        <v>0</v>
      </c>
      <c r="K113" s="50">
        <f t="shared" si="45"/>
        <v>0</v>
      </c>
      <c r="L113" s="50">
        <f t="shared" si="45"/>
        <v>0</v>
      </c>
      <c r="M113" s="50">
        <f t="shared" si="45"/>
        <v>0</v>
      </c>
      <c r="N113" s="50">
        <f t="shared" si="45"/>
        <v>0</v>
      </c>
      <c r="O113" s="50">
        <f t="shared" si="45"/>
        <v>0</v>
      </c>
      <c r="P113" s="50">
        <f t="shared" si="45"/>
        <v>0</v>
      </c>
      <c r="Q113" s="99"/>
      <c r="R113" s="41"/>
      <c r="S113" s="61">
        <f>SUBTOTAL(9,S111:S112)</f>
        <v>0</v>
      </c>
      <c r="T113" s="41"/>
      <c r="U113" s="50">
        <f>SUBTOTAL(9,U111:U112)</f>
        <v>0</v>
      </c>
      <c r="V113" s="50">
        <f>SUBTOTAL(9,V111:V112)</f>
        <v>0</v>
      </c>
      <c r="W113" s="39"/>
    </row>
    <row r="114" spans="1:23" s="37" customFormat="1" ht="9" customHeight="1" x14ac:dyDescent="0.2">
      <c r="C114" s="38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100"/>
      <c r="R114" s="41"/>
      <c r="S114" s="59"/>
      <c r="T114" s="41"/>
      <c r="U114" s="39"/>
      <c r="V114" s="39"/>
      <c r="W114" s="39"/>
    </row>
    <row r="115" spans="1:23" s="45" customFormat="1" ht="12" x14ac:dyDescent="0.2">
      <c r="A115" s="45" t="s">
        <v>107</v>
      </c>
      <c r="C115" s="46"/>
      <c r="E115" s="43">
        <f t="shared" ref="E115:P115" si="46">SUBTOTAL(9,E30:E114)</f>
        <v>156700.70732812941</v>
      </c>
      <c r="F115" s="43">
        <f t="shared" si="46"/>
        <v>212256.51713212935</v>
      </c>
      <c r="G115" s="43">
        <f t="shared" si="46"/>
        <v>206147.24359492937</v>
      </c>
      <c r="H115" s="43">
        <f t="shared" si="46"/>
        <v>234307.13655892937</v>
      </c>
      <c r="I115" s="43">
        <f t="shared" si="46"/>
        <v>194250.12914092941</v>
      </c>
      <c r="J115" s="43">
        <f t="shared" si="46"/>
        <v>175370.01635092933</v>
      </c>
      <c r="K115" s="43">
        <f t="shared" si="46"/>
        <v>213187.67201092941</v>
      </c>
      <c r="L115" s="43">
        <f t="shared" si="46"/>
        <v>190271.5979249294</v>
      </c>
      <c r="M115" s="43">
        <f t="shared" si="46"/>
        <v>168479.11422292932</v>
      </c>
      <c r="N115" s="43">
        <f t="shared" si="46"/>
        <v>209626.57008292933</v>
      </c>
      <c r="O115" s="43">
        <f t="shared" si="46"/>
        <v>167863.93402612937</v>
      </c>
      <c r="P115" s="43">
        <f t="shared" si="46"/>
        <v>212307.22622812935</v>
      </c>
      <c r="Q115" s="47"/>
      <c r="R115" s="48"/>
      <c r="S115" s="60">
        <f>SUBTOTAL(9,S30:S114)</f>
        <v>2340767.864601953</v>
      </c>
      <c r="T115" s="48"/>
      <c r="U115" s="43">
        <f>SUBTOTAL(9,U30:U114)</f>
        <v>2294870.4554921105</v>
      </c>
      <c r="V115" s="43">
        <f>SUBTOTAL(9,V30:V114)</f>
        <v>-45897.409109842483</v>
      </c>
      <c r="W115" s="40"/>
    </row>
    <row r="116" spans="1:23" s="37" customFormat="1" ht="12" x14ac:dyDescent="0.2">
      <c r="C116" s="38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44"/>
      <c r="R116" s="41"/>
      <c r="S116" s="59"/>
      <c r="T116" s="41"/>
      <c r="U116" s="39"/>
      <c r="V116" s="39"/>
      <c r="W116" s="39"/>
    </row>
    <row r="117" spans="1:23" s="45" customFormat="1" ht="12.75" thickBot="1" x14ac:dyDescent="0.25">
      <c r="A117" s="45" t="s">
        <v>108</v>
      </c>
      <c r="C117" s="46"/>
      <c r="E117" s="181">
        <f t="shared" ref="E117:P117" si="47">E27-E115</f>
        <v>19196.014903570613</v>
      </c>
      <c r="F117" s="181">
        <f t="shared" si="47"/>
        <v>-36359.794900429319</v>
      </c>
      <c r="G117" s="181">
        <f t="shared" si="47"/>
        <v>-30250.521363229345</v>
      </c>
      <c r="H117" s="181">
        <f t="shared" si="47"/>
        <v>46621.441393857735</v>
      </c>
      <c r="I117" s="181">
        <f t="shared" si="47"/>
        <v>-18353.406909229379</v>
      </c>
      <c r="J117" s="181">
        <f t="shared" si="47"/>
        <v>9746.7194743448927</v>
      </c>
      <c r="K117" s="181">
        <f t="shared" si="47"/>
        <v>77374.684586868592</v>
      </c>
      <c r="L117" s="181">
        <f t="shared" si="47"/>
        <v>-14374.875693229376</v>
      </c>
      <c r="M117" s="181">
        <f t="shared" si="47"/>
        <v>7417.6080087707087</v>
      </c>
      <c r="N117" s="181">
        <f t="shared" si="47"/>
        <v>71302.007869857771</v>
      </c>
      <c r="O117" s="181">
        <f t="shared" si="47"/>
        <v>18424.509248063725</v>
      </c>
      <c r="P117" s="181">
        <f t="shared" si="47"/>
        <v>80656.539162032073</v>
      </c>
      <c r="Q117" s="190"/>
      <c r="R117" s="191"/>
      <c r="S117" s="192">
        <f>S27-S115</f>
        <v>231400.92578124767</v>
      </c>
      <c r="T117" s="191"/>
      <c r="U117" s="181">
        <f>U27-U115</f>
        <v>86955.434699889738</v>
      </c>
      <c r="V117" s="181">
        <f>V27+V115</f>
        <v>144445.49108135863</v>
      </c>
      <c r="W117" s="40"/>
    </row>
    <row r="118" spans="1:23" s="37" customFormat="1" ht="12.75" thickTop="1" x14ac:dyDescent="0.2">
      <c r="C118" s="38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44"/>
      <c r="R118" s="41"/>
      <c r="S118" s="59"/>
      <c r="T118" s="41"/>
      <c r="U118" s="39"/>
      <c r="V118" s="39"/>
      <c r="W118" s="39"/>
    </row>
    <row r="119" spans="1:23" s="37" customFormat="1" ht="12" x14ac:dyDescent="0.2">
      <c r="A119" s="53" t="s">
        <v>109</v>
      </c>
      <c r="B119" s="54"/>
      <c r="C119" s="54"/>
      <c r="D119" s="54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44"/>
      <c r="R119" s="41"/>
      <c r="S119" s="59"/>
      <c r="T119" s="41"/>
      <c r="U119" s="39"/>
      <c r="V119" s="39"/>
      <c r="W119" s="39"/>
    </row>
    <row r="120" spans="1:23" s="37" customFormat="1" ht="12" x14ac:dyDescent="0.2">
      <c r="A120" s="53"/>
      <c r="B120" s="53"/>
      <c r="C120" s="54" t="s">
        <v>110</v>
      </c>
      <c r="D120" s="54"/>
      <c r="E120" s="39">
        <f>E117</f>
        <v>19196.014903570613</v>
      </c>
      <c r="F120" s="39">
        <f t="shared" ref="F120:P120" si="48">F117</f>
        <v>-36359.794900429319</v>
      </c>
      <c r="G120" s="39">
        <f t="shared" si="48"/>
        <v>-30250.521363229345</v>
      </c>
      <c r="H120" s="39">
        <f t="shared" si="48"/>
        <v>46621.441393857735</v>
      </c>
      <c r="I120" s="39">
        <f t="shared" si="48"/>
        <v>-18353.406909229379</v>
      </c>
      <c r="J120" s="39">
        <f t="shared" si="48"/>
        <v>9746.7194743448927</v>
      </c>
      <c r="K120" s="39">
        <f t="shared" si="48"/>
        <v>77374.684586868592</v>
      </c>
      <c r="L120" s="39">
        <f t="shared" si="48"/>
        <v>-14374.875693229376</v>
      </c>
      <c r="M120" s="39">
        <f t="shared" si="48"/>
        <v>7417.6080087707087</v>
      </c>
      <c r="N120" s="39">
        <f t="shared" si="48"/>
        <v>71302.007869857771</v>
      </c>
      <c r="O120" s="39">
        <f t="shared" si="48"/>
        <v>18424.509248063725</v>
      </c>
      <c r="P120" s="39">
        <f t="shared" si="48"/>
        <v>80656.539162032073</v>
      </c>
      <c r="Q120" s="44"/>
      <c r="R120" s="41"/>
      <c r="S120" s="59">
        <f t="shared" ref="S120:S136" si="49">SUM(E120:Q120)</f>
        <v>231400.92578124869</v>
      </c>
      <c r="T120" s="41"/>
      <c r="U120" s="39"/>
      <c r="V120" s="39"/>
      <c r="W120" s="39"/>
    </row>
    <row r="121" spans="1:23" s="37" customFormat="1" ht="12" x14ac:dyDescent="0.2">
      <c r="A121" s="54"/>
      <c r="B121" s="54" t="s">
        <v>111</v>
      </c>
      <c r="C121" s="54" t="s">
        <v>112</v>
      </c>
      <c r="D121" s="54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44"/>
      <c r="R121" s="41"/>
      <c r="S121" s="59"/>
      <c r="T121" s="41"/>
      <c r="U121" s="39"/>
      <c r="V121" s="39"/>
      <c r="W121" s="39"/>
    </row>
    <row r="122" spans="1:23" s="37" customFormat="1" ht="12" x14ac:dyDescent="0.2">
      <c r="A122" s="54"/>
      <c r="B122" s="54" t="s">
        <v>111</v>
      </c>
      <c r="C122" s="54"/>
      <c r="D122" s="55" t="s">
        <v>113</v>
      </c>
      <c r="E122" s="39">
        <f>E112</f>
        <v>0</v>
      </c>
      <c r="F122" s="39">
        <f t="shared" ref="F122:P122" si="50">F112</f>
        <v>0</v>
      </c>
      <c r="G122" s="39">
        <f t="shared" si="50"/>
        <v>0</v>
      </c>
      <c r="H122" s="39">
        <f t="shared" si="50"/>
        <v>0</v>
      </c>
      <c r="I122" s="39">
        <f t="shared" si="50"/>
        <v>0</v>
      </c>
      <c r="J122" s="39">
        <f t="shared" si="50"/>
        <v>0</v>
      </c>
      <c r="K122" s="39">
        <f t="shared" si="50"/>
        <v>0</v>
      </c>
      <c r="L122" s="39">
        <f t="shared" si="50"/>
        <v>0</v>
      </c>
      <c r="M122" s="39">
        <f t="shared" si="50"/>
        <v>0</v>
      </c>
      <c r="N122" s="39">
        <f t="shared" si="50"/>
        <v>0</v>
      </c>
      <c r="O122" s="39">
        <f t="shared" si="50"/>
        <v>0</v>
      </c>
      <c r="P122" s="39">
        <f t="shared" si="50"/>
        <v>0</v>
      </c>
      <c r="Q122" s="44"/>
      <c r="R122" s="41"/>
      <c r="S122" s="59">
        <f t="shared" si="49"/>
        <v>0</v>
      </c>
      <c r="T122" s="41"/>
      <c r="U122" s="39"/>
      <c r="V122" s="39"/>
      <c r="W122" s="39"/>
    </row>
    <row r="123" spans="1:23" s="37" customFormat="1" ht="12" x14ac:dyDescent="0.2">
      <c r="A123" s="54"/>
      <c r="B123" s="54" t="s">
        <v>111</v>
      </c>
      <c r="C123" s="54"/>
      <c r="D123" s="55" t="s">
        <v>114</v>
      </c>
      <c r="E123" s="39">
        <f>-'FY22'!Q123</f>
        <v>0</v>
      </c>
      <c r="F123" s="39">
        <v>0</v>
      </c>
      <c r="G123" s="39">
        <v>0</v>
      </c>
      <c r="H123" s="39">
        <v>0</v>
      </c>
      <c r="I123" s="39">
        <v>0</v>
      </c>
      <c r="J123" s="39">
        <v>0</v>
      </c>
      <c r="K123" s="39">
        <v>0</v>
      </c>
      <c r="L123" s="39">
        <v>0</v>
      </c>
      <c r="M123" s="39">
        <v>0</v>
      </c>
      <c r="N123" s="39">
        <v>0</v>
      </c>
      <c r="O123" s="39">
        <v>0</v>
      </c>
      <c r="P123" s="39">
        <v>0</v>
      </c>
      <c r="Q123" s="44"/>
      <c r="R123" s="41"/>
      <c r="S123" s="59">
        <f t="shared" si="49"/>
        <v>0</v>
      </c>
      <c r="T123" s="41"/>
      <c r="U123" s="39"/>
      <c r="V123" s="39"/>
      <c r="W123" s="39"/>
    </row>
    <row r="124" spans="1:23" s="37" customFormat="1" ht="12" x14ac:dyDescent="0.2">
      <c r="A124" s="54"/>
      <c r="B124" s="54" t="s">
        <v>111</v>
      </c>
      <c r="C124" s="54"/>
      <c r="D124" s="55" t="s">
        <v>115</v>
      </c>
      <c r="E124" s="39">
        <v>0</v>
      </c>
      <c r="F124" s="39">
        <v>0</v>
      </c>
      <c r="G124" s="39">
        <v>0</v>
      </c>
      <c r="H124" s="39">
        <v>0</v>
      </c>
      <c r="I124" s="39">
        <v>0</v>
      </c>
      <c r="J124" s="39">
        <v>0</v>
      </c>
      <c r="K124" s="39">
        <v>0</v>
      </c>
      <c r="L124" s="39">
        <v>0</v>
      </c>
      <c r="M124" s="39">
        <v>0</v>
      </c>
      <c r="N124" s="39">
        <v>0</v>
      </c>
      <c r="O124" s="39">
        <v>0</v>
      </c>
      <c r="P124" s="39">
        <v>0</v>
      </c>
      <c r="Q124" s="44"/>
      <c r="R124" s="41"/>
      <c r="S124" s="59">
        <f t="shared" si="49"/>
        <v>0</v>
      </c>
      <c r="T124" s="41"/>
      <c r="U124" s="39"/>
      <c r="V124" s="39"/>
      <c r="W124" s="39"/>
    </row>
    <row r="125" spans="1:23" s="37" customFormat="1" ht="12" x14ac:dyDescent="0.2">
      <c r="A125" s="54"/>
      <c r="B125" s="54" t="s">
        <v>111</v>
      </c>
      <c r="C125" s="54"/>
      <c r="D125" s="55" t="s">
        <v>116</v>
      </c>
      <c r="E125" s="39">
        <v>0</v>
      </c>
      <c r="F125" s="39">
        <v>0</v>
      </c>
      <c r="G125" s="39">
        <v>0</v>
      </c>
      <c r="H125" s="39">
        <v>0</v>
      </c>
      <c r="I125" s="39">
        <v>0</v>
      </c>
      <c r="J125" s="39">
        <v>0</v>
      </c>
      <c r="K125" s="39">
        <v>0</v>
      </c>
      <c r="L125" s="39">
        <v>0</v>
      </c>
      <c r="M125" s="39">
        <v>0</v>
      </c>
      <c r="N125" s="39">
        <v>0</v>
      </c>
      <c r="O125" s="39">
        <v>0</v>
      </c>
      <c r="P125" s="39">
        <v>0</v>
      </c>
      <c r="Q125" s="44"/>
      <c r="R125" s="41"/>
      <c r="S125" s="59">
        <f t="shared" si="49"/>
        <v>0</v>
      </c>
      <c r="T125" s="41"/>
      <c r="U125" s="39"/>
      <c r="V125" s="39"/>
      <c r="W125" s="39"/>
    </row>
    <row r="126" spans="1:23" s="37" customFormat="1" ht="12" x14ac:dyDescent="0.2">
      <c r="A126" s="54"/>
      <c r="B126" s="54" t="s">
        <v>111</v>
      </c>
      <c r="C126" s="54"/>
      <c r="D126" s="55" t="s">
        <v>117</v>
      </c>
      <c r="E126" s="39">
        <v>0</v>
      </c>
      <c r="F126" s="39">
        <v>0</v>
      </c>
      <c r="G126" s="39">
        <v>0</v>
      </c>
      <c r="H126" s="39">
        <v>0</v>
      </c>
      <c r="I126" s="39">
        <v>0</v>
      </c>
      <c r="J126" s="39">
        <v>0</v>
      </c>
      <c r="K126" s="39">
        <v>0</v>
      </c>
      <c r="L126" s="39">
        <v>0</v>
      </c>
      <c r="M126" s="39">
        <v>0</v>
      </c>
      <c r="N126" s="39">
        <v>0</v>
      </c>
      <c r="O126" s="39">
        <v>0</v>
      </c>
      <c r="P126" s="39">
        <v>0</v>
      </c>
      <c r="Q126" s="44"/>
      <c r="R126" s="41"/>
      <c r="S126" s="59">
        <f t="shared" si="49"/>
        <v>0</v>
      </c>
      <c r="T126" s="41"/>
      <c r="U126" s="39"/>
      <c r="V126" s="39"/>
      <c r="W126" s="39"/>
    </row>
    <row r="127" spans="1:23" s="37" customFormat="1" ht="12" x14ac:dyDescent="0.2">
      <c r="A127" s="54"/>
      <c r="B127" s="54" t="s">
        <v>111</v>
      </c>
      <c r="C127" s="54"/>
      <c r="D127" s="55" t="s">
        <v>118</v>
      </c>
      <c r="E127" s="39">
        <v>0</v>
      </c>
      <c r="F127" s="39">
        <v>0</v>
      </c>
      <c r="G127" s="39">
        <v>0</v>
      </c>
      <c r="H127" s="39">
        <v>0</v>
      </c>
      <c r="I127" s="39">
        <v>0</v>
      </c>
      <c r="J127" s="39">
        <v>0</v>
      </c>
      <c r="K127" s="39">
        <v>0</v>
      </c>
      <c r="L127" s="39">
        <v>0</v>
      </c>
      <c r="M127" s="39">
        <v>0</v>
      </c>
      <c r="N127" s="39">
        <v>0</v>
      </c>
      <c r="O127" s="39">
        <v>0</v>
      </c>
      <c r="P127" s="39">
        <v>0</v>
      </c>
      <c r="Q127" s="44"/>
      <c r="R127" s="41"/>
      <c r="S127" s="59">
        <f t="shared" si="49"/>
        <v>0</v>
      </c>
      <c r="T127" s="41"/>
      <c r="U127" s="39"/>
      <c r="V127" s="39"/>
      <c r="W127" s="39"/>
    </row>
    <row r="128" spans="1:23" s="37" customFormat="1" ht="12" x14ac:dyDescent="0.2">
      <c r="A128" s="54"/>
      <c r="B128" s="54" t="s">
        <v>111</v>
      </c>
      <c r="C128" s="54"/>
      <c r="D128" s="55" t="s">
        <v>119</v>
      </c>
      <c r="E128" s="39">
        <f>-'FY22'!Q128</f>
        <v>0</v>
      </c>
      <c r="F128" s="39">
        <v>0</v>
      </c>
      <c r="G128" s="39">
        <v>0</v>
      </c>
      <c r="H128" s="39">
        <v>0</v>
      </c>
      <c r="I128" s="39">
        <v>0</v>
      </c>
      <c r="J128" s="39">
        <v>0</v>
      </c>
      <c r="K128" s="39">
        <v>0</v>
      </c>
      <c r="L128" s="39">
        <v>0</v>
      </c>
      <c r="M128" s="39">
        <v>0</v>
      </c>
      <c r="N128" s="39">
        <v>0</v>
      </c>
      <c r="O128" s="39">
        <v>0</v>
      </c>
      <c r="P128" s="39">
        <v>0</v>
      </c>
      <c r="Q128" s="44"/>
      <c r="R128" s="41"/>
      <c r="S128" s="59">
        <f t="shared" si="49"/>
        <v>0</v>
      </c>
      <c r="T128" s="41"/>
      <c r="U128" s="39"/>
      <c r="V128" s="39"/>
      <c r="W128" s="39"/>
    </row>
    <row r="129" spans="1:23" s="37" customFormat="1" ht="12" x14ac:dyDescent="0.2">
      <c r="A129" s="54"/>
      <c r="B129" s="54" t="s">
        <v>111</v>
      </c>
      <c r="C129" s="54"/>
      <c r="D129" s="55" t="s">
        <v>120</v>
      </c>
      <c r="E129" s="39">
        <v>0</v>
      </c>
      <c r="F129" s="39">
        <v>0</v>
      </c>
      <c r="G129" s="39">
        <v>0</v>
      </c>
      <c r="H129" s="39">
        <v>0</v>
      </c>
      <c r="I129" s="39">
        <v>0</v>
      </c>
      <c r="J129" s="39">
        <v>0</v>
      </c>
      <c r="K129" s="39">
        <v>0</v>
      </c>
      <c r="L129" s="39">
        <v>0</v>
      </c>
      <c r="M129" s="39">
        <v>0</v>
      </c>
      <c r="N129" s="39">
        <v>0</v>
      </c>
      <c r="O129" s="39">
        <v>0</v>
      </c>
      <c r="P129" s="39">
        <v>0</v>
      </c>
      <c r="Q129" s="44"/>
      <c r="R129" s="41"/>
      <c r="S129" s="59">
        <f t="shared" si="49"/>
        <v>0</v>
      </c>
      <c r="T129" s="41"/>
      <c r="U129" s="39"/>
      <c r="V129" s="39"/>
      <c r="W129" s="39"/>
    </row>
    <row r="130" spans="1:23" s="37" customFormat="1" ht="12" x14ac:dyDescent="0.2">
      <c r="A130" s="54"/>
      <c r="B130" s="54" t="s">
        <v>111</v>
      </c>
      <c r="C130" s="54"/>
      <c r="D130" s="55" t="s">
        <v>121</v>
      </c>
      <c r="E130" s="39">
        <v>0</v>
      </c>
      <c r="F130" s="39">
        <v>0</v>
      </c>
      <c r="G130" s="39">
        <v>0</v>
      </c>
      <c r="H130" s="39">
        <v>0</v>
      </c>
      <c r="I130" s="39">
        <v>0</v>
      </c>
      <c r="J130" s="39">
        <v>0</v>
      </c>
      <c r="K130" s="39">
        <v>0</v>
      </c>
      <c r="L130" s="39">
        <v>0</v>
      </c>
      <c r="M130" s="39">
        <v>0</v>
      </c>
      <c r="N130" s="39">
        <v>0</v>
      </c>
      <c r="O130" s="39">
        <v>0</v>
      </c>
      <c r="P130" s="39">
        <v>0</v>
      </c>
      <c r="Q130" s="44"/>
      <c r="R130" s="41"/>
      <c r="S130" s="59">
        <f t="shared" si="49"/>
        <v>0</v>
      </c>
      <c r="T130" s="41"/>
      <c r="U130" s="39"/>
      <c r="V130" s="39"/>
      <c r="W130" s="39"/>
    </row>
    <row r="131" spans="1:23" s="37" customFormat="1" ht="12" x14ac:dyDescent="0.2">
      <c r="A131" s="54"/>
      <c r="B131" s="54" t="s">
        <v>111</v>
      </c>
      <c r="C131" s="54" t="s">
        <v>122</v>
      </c>
      <c r="D131" s="55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44"/>
      <c r="R131" s="41"/>
      <c r="S131" s="59"/>
      <c r="T131" s="41"/>
      <c r="U131" s="39"/>
      <c r="V131" s="39"/>
      <c r="W131" s="39"/>
    </row>
    <row r="132" spans="1:23" s="37" customFormat="1" ht="12" x14ac:dyDescent="0.2">
      <c r="A132" s="54"/>
      <c r="B132" s="54" t="s">
        <v>111</v>
      </c>
      <c r="C132" s="54"/>
      <c r="D132" s="55" t="s">
        <v>123</v>
      </c>
      <c r="E132" s="39">
        <v>0</v>
      </c>
      <c r="F132" s="39">
        <v>0</v>
      </c>
      <c r="G132" s="39">
        <v>0</v>
      </c>
      <c r="H132" s="39">
        <v>0</v>
      </c>
      <c r="I132" s="39">
        <v>0</v>
      </c>
      <c r="J132" s="39">
        <v>0</v>
      </c>
      <c r="K132" s="39">
        <v>0</v>
      </c>
      <c r="L132" s="39">
        <v>0</v>
      </c>
      <c r="M132" s="39">
        <v>0</v>
      </c>
      <c r="N132" s="39">
        <v>0</v>
      </c>
      <c r="O132" s="39">
        <v>0</v>
      </c>
      <c r="P132" s="39">
        <v>0</v>
      </c>
      <c r="Q132" s="44"/>
      <c r="R132" s="41"/>
      <c r="S132" s="59">
        <f t="shared" si="49"/>
        <v>0</v>
      </c>
      <c r="T132" s="41"/>
      <c r="U132" s="39"/>
      <c r="V132" s="39"/>
      <c r="W132" s="39"/>
    </row>
    <row r="133" spans="1:23" s="37" customFormat="1" ht="12" x14ac:dyDescent="0.2">
      <c r="A133" s="54"/>
      <c r="B133" s="54"/>
      <c r="C133" s="54"/>
      <c r="D133" s="54" t="s">
        <v>124</v>
      </c>
      <c r="E133" s="39">
        <v>0</v>
      </c>
      <c r="F133" s="39">
        <v>0</v>
      </c>
      <c r="G133" s="39">
        <v>0</v>
      </c>
      <c r="H133" s="39">
        <v>0</v>
      </c>
      <c r="I133" s="39">
        <v>0</v>
      </c>
      <c r="J133" s="39">
        <v>0</v>
      </c>
      <c r="K133" s="39">
        <v>0</v>
      </c>
      <c r="L133" s="39">
        <v>0</v>
      </c>
      <c r="M133" s="39">
        <v>0</v>
      </c>
      <c r="N133" s="39">
        <v>0</v>
      </c>
      <c r="O133" s="39">
        <v>0</v>
      </c>
      <c r="P133" s="39">
        <v>0</v>
      </c>
      <c r="Q133" s="44"/>
      <c r="R133" s="41"/>
      <c r="S133" s="59">
        <f t="shared" si="49"/>
        <v>0</v>
      </c>
      <c r="T133" s="41"/>
      <c r="U133" s="39"/>
      <c r="V133" s="39"/>
      <c r="W133" s="39"/>
    </row>
    <row r="134" spans="1:23" s="37" customFormat="1" ht="12" x14ac:dyDescent="0.2">
      <c r="A134" s="54"/>
      <c r="B134" s="54"/>
      <c r="C134" s="54" t="s">
        <v>125</v>
      </c>
      <c r="D134" s="54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44"/>
      <c r="R134" s="41"/>
      <c r="S134" s="59"/>
      <c r="T134" s="41"/>
      <c r="U134" s="39"/>
      <c r="V134" s="39"/>
      <c r="W134" s="39"/>
    </row>
    <row r="135" spans="1:23" s="37" customFormat="1" ht="12" x14ac:dyDescent="0.2">
      <c r="A135" s="54"/>
      <c r="B135" s="54"/>
      <c r="C135" s="54"/>
      <c r="D135" s="54" t="s">
        <v>129</v>
      </c>
      <c r="E135" s="39">
        <v>0</v>
      </c>
      <c r="F135" s="39">
        <v>0</v>
      </c>
      <c r="G135" s="39">
        <v>0</v>
      </c>
      <c r="H135" s="39">
        <v>0</v>
      </c>
      <c r="I135" s="39">
        <v>0</v>
      </c>
      <c r="J135" s="39">
        <v>0</v>
      </c>
      <c r="K135" s="39">
        <v>0</v>
      </c>
      <c r="L135" s="39">
        <v>0</v>
      </c>
      <c r="M135" s="39">
        <v>0</v>
      </c>
      <c r="N135" s="39">
        <v>0</v>
      </c>
      <c r="O135" s="39">
        <v>0</v>
      </c>
      <c r="P135" s="39">
        <v>0</v>
      </c>
      <c r="Q135" s="44"/>
      <c r="R135" s="41"/>
      <c r="S135" s="59">
        <f t="shared" si="49"/>
        <v>0</v>
      </c>
      <c r="T135" s="41"/>
      <c r="U135" s="39"/>
      <c r="V135" s="39"/>
      <c r="W135" s="39"/>
    </row>
    <row r="136" spans="1:23" s="37" customFormat="1" ht="12" x14ac:dyDescent="0.2">
      <c r="A136" s="54"/>
      <c r="B136" s="54"/>
      <c r="C136" s="54"/>
      <c r="D136" s="54" t="s">
        <v>130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  <c r="P136" s="42">
        <v>0</v>
      </c>
      <c r="Q136" s="47"/>
      <c r="R136" s="41"/>
      <c r="S136" s="59">
        <f t="shared" si="49"/>
        <v>0</v>
      </c>
      <c r="T136" s="41"/>
      <c r="U136" s="39"/>
      <c r="V136" s="39"/>
      <c r="W136" s="39"/>
    </row>
    <row r="137" spans="1:23" s="37" customFormat="1" ht="12" x14ac:dyDescent="0.2">
      <c r="A137" s="54"/>
      <c r="B137" s="54"/>
      <c r="C137" s="54"/>
      <c r="D137" s="54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41"/>
      <c r="S137" s="40"/>
      <c r="T137" s="41"/>
      <c r="U137" s="39"/>
      <c r="V137" s="39"/>
      <c r="W137" s="39"/>
    </row>
    <row r="138" spans="1:23" s="37" customFormat="1" ht="12" x14ac:dyDescent="0.2">
      <c r="A138" s="54"/>
      <c r="B138" s="54" t="s">
        <v>126</v>
      </c>
      <c r="C138" s="54"/>
      <c r="D138" s="54"/>
      <c r="E138" s="39">
        <f>SUM(E120:E136)</f>
        <v>19196.014903570613</v>
      </c>
      <c r="F138" s="39">
        <f>SUM(F120:F136)</f>
        <v>-36359.794900429319</v>
      </c>
      <c r="G138" s="39">
        <f t="shared" ref="G138:P138" si="51">SUM(G120:G136)</f>
        <v>-30250.521363229345</v>
      </c>
      <c r="H138" s="39">
        <f t="shared" si="51"/>
        <v>46621.441393857735</v>
      </c>
      <c r="I138" s="39">
        <f t="shared" si="51"/>
        <v>-18353.406909229379</v>
      </c>
      <c r="J138" s="39">
        <f t="shared" si="51"/>
        <v>9746.7194743448927</v>
      </c>
      <c r="K138" s="39">
        <f t="shared" si="51"/>
        <v>77374.684586868592</v>
      </c>
      <c r="L138" s="39">
        <f t="shared" si="51"/>
        <v>-14374.875693229376</v>
      </c>
      <c r="M138" s="39">
        <f t="shared" si="51"/>
        <v>7417.6080087707087</v>
      </c>
      <c r="N138" s="39">
        <f t="shared" si="51"/>
        <v>71302.007869857771</v>
      </c>
      <c r="O138" s="39">
        <f t="shared" si="51"/>
        <v>18424.509248063725</v>
      </c>
      <c r="P138" s="39">
        <f t="shared" si="51"/>
        <v>80656.539162032073</v>
      </c>
      <c r="Q138" s="39"/>
      <c r="R138" s="41"/>
      <c r="S138" s="40"/>
      <c r="T138" s="41"/>
      <c r="U138" s="39"/>
      <c r="V138" s="39"/>
      <c r="W138" s="39"/>
    </row>
    <row r="139" spans="1:23" s="37" customFormat="1" ht="12" x14ac:dyDescent="0.2">
      <c r="A139" s="54"/>
      <c r="B139" s="54" t="s">
        <v>127</v>
      </c>
      <c r="C139" s="54"/>
      <c r="D139" s="54"/>
      <c r="E139" s="42">
        <f>'FY22'!P141</f>
        <v>105513.67431939021</v>
      </c>
      <c r="F139" s="42">
        <f>E141</f>
        <v>124709.68922296082</v>
      </c>
      <c r="G139" s="42">
        <f t="shared" ref="G139:P139" si="52">F141</f>
        <v>88349.894322531502</v>
      </c>
      <c r="H139" s="42">
        <f t="shared" si="52"/>
        <v>58099.372959302156</v>
      </c>
      <c r="I139" s="42">
        <f t="shared" si="52"/>
        <v>104720.81435315989</v>
      </c>
      <c r="J139" s="42">
        <f t="shared" si="52"/>
        <v>86367.407443930511</v>
      </c>
      <c r="K139" s="42">
        <f t="shared" si="52"/>
        <v>96114.126918275404</v>
      </c>
      <c r="L139" s="42">
        <f t="shared" si="52"/>
        <v>173488.811505144</v>
      </c>
      <c r="M139" s="42">
        <f t="shared" si="52"/>
        <v>159113.93581191462</v>
      </c>
      <c r="N139" s="42">
        <f t="shared" si="52"/>
        <v>166531.54382068533</v>
      </c>
      <c r="O139" s="42">
        <f t="shared" si="52"/>
        <v>237833.5516905431</v>
      </c>
      <c r="P139" s="42">
        <f t="shared" si="52"/>
        <v>256258.06093860682</v>
      </c>
      <c r="Q139" s="39"/>
      <c r="R139" s="41"/>
      <c r="S139" s="40"/>
      <c r="T139" s="41"/>
      <c r="U139" s="39"/>
      <c r="V139" s="39"/>
      <c r="W139" s="39"/>
    </row>
    <row r="140" spans="1:23" s="37" customFormat="1" ht="12" x14ac:dyDescent="0.2">
      <c r="A140" s="54"/>
      <c r="B140" s="54"/>
      <c r="C140" s="54"/>
      <c r="D140" s="54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41"/>
      <c r="S140" s="40"/>
      <c r="T140" s="41"/>
      <c r="U140" s="39"/>
      <c r="V140" s="39"/>
      <c r="W140" s="39"/>
    </row>
    <row r="141" spans="1:23" s="37" customFormat="1" ht="12.75" thickBot="1" x14ac:dyDescent="0.25">
      <c r="A141" s="53"/>
      <c r="B141" s="53" t="s">
        <v>128</v>
      </c>
      <c r="C141" s="53"/>
      <c r="D141" s="53"/>
      <c r="E141" s="194">
        <f>SUM(E138:E140)</f>
        <v>124709.68922296082</v>
      </c>
      <c r="F141" s="194">
        <f>SUM(F138:F140)</f>
        <v>88349.894322531502</v>
      </c>
      <c r="G141" s="194">
        <f t="shared" ref="G141:P141" si="53">SUM(G138:G140)</f>
        <v>58099.372959302156</v>
      </c>
      <c r="H141" s="194">
        <f t="shared" si="53"/>
        <v>104720.81435315989</v>
      </c>
      <c r="I141" s="194">
        <f t="shared" si="53"/>
        <v>86367.407443930511</v>
      </c>
      <c r="J141" s="194">
        <f t="shared" si="53"/>
        <v>96114.126918275404</v>
      </c>
      <c r="K141" s="194">
        <f t="shared" si="53"/>
        <v>173488.811505144</v>
      </c>
      <c r="L141" s="194">
        <f t="shared" si="53"/>
        <v>159113.93581191462</v>
      </c>
      <c r="M141" s="194">
        <f t="shared" si="53"/>
        <v>166531.54382068533</v>
      </c>
      <c r="N141" s="194">
        <f t="shared" si="53"/>
        <v>237833.5516905431</v>
      </c>
      <c r="O141" s="194">
        <f t="shared" si="53"/>
        <v>256258.06093860682</v>
      </c>
      <c r="P141" s="194">
        <f t="shared" si="53"/>
        <v>336914.60010063893</v>
      </c>
      <c r="Q141" s="39"/>
      <c r="R141" s="41"/>
      <c r="S141" s="40"/>
      <c r="T141" s="41"/>
      <c r="U141" s="39"/>
      <c r="V141" s="39"/>
      <c r="W141" s="39"/>
    </row>
    <row r="142" spans="1:23" s="37" customFormat="1" ht="12.75" thickTop="1" x14ac:dyDescent="0.2">
      <c r="C142" s="38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41"/>
      <c r="S142" s="40"/>
      <c r="T142" s="41"/>
      <c r="U142" s="39"/>
      <c r="V142" s="39"/>
      <c r="W142" s="39"/>
    </row>
    <row r="143" spans="1:23" s="37" customFormat="1" ht="12" x14ac:dyDescent="0.2">
      <c r="C143" s="38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41"/>
      <c r="S143" s="40"/>
      <c r="T143" s="41"/>
      <c r="U143" s="39"/>
      <c r="V143" s="39"/>
      <c r="W143" s="39"/>
    </row>
    <row r="144" spans="1:23" s="37" customFormat="1" ht="12" x14ac:dyDescent="0.2">
      <c r="C144" s="38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41"/>
      <c r="S144" s="40"/>
      <c r="T144" s="41"/>
      <c r="U144" s="39"/>
      <c r="V144" s="39"/>
      <c r="W144" s="39"/>
    </row>
    <row r="145" spans="3:23" s="37" customFormat="1" ht="12" x14ac:dyDescent="0.2">
      <c r="C145" s="38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41"/>
      <c r="S145" s="40"/>
      <c r="T145" s="41"/>
      <c r="U145" s="39"/>
      <c r="V145" s="39"/>
      <c r="W145" s="39"/>
    </row>
    <row r="146" spans="3:23" s="37" customFormat="1" ht="12" x14ac:dyDescent="0.2">
      <c r="C146" s="38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41"/>
      <c r="S146" s="40"/>
      <c r="T146" s="41"/>
      <c r="U146" s="39"/>
      <c r="V146" s="39"/>
      <c r="W146" s="39"/>
    </row>
    <row r="147" spans="3:23" s="37" customFormat="1" ht="12" x14ac:dyDescent="0.2">
      <c r="C147" s="38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41"/>
      <c r="S147" s="40"/>
      <c r="T147" s="41"/>
      <c r="U147" s="39"/>
      <c r="V147" s="39"/>
      <c r="W147" s="39"/>
    </row>
    <row r="148" spans="3:23" s="37" customFormat="1" ht="12" x14ac:dyDescent="0.2">
      <c r="C148" s="38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41"/>
      <c r="S148" s="40"/>
      <c r="T148" s="41"/>
      <c r="U148" s="39"/>
      <c r="V148" s="39"/>
      <c r="W148" s="39"/>
    </row>
    <row r="149" spans="3:23" s="37" customFormat="1" ht="12" x14ac:dyDescent="0.2">
      <c r="C149" s="38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41"/>
      <c r="S149" s="40"/>
      <c r="T149" s="41"/>
      <c r="U149" s="39"/>
      <c r="V149" s="39"/>
      <c r="W149" s="39"/>
    </row>
    <row r="150" spans="3:23" s="37" customFormat="1" ht="12" x14ac:dyDescent="0.2">
      <c r="C150" s="38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41"/>
      <c r="S150" s="40"/>
      <c r="T150" s="41"/>
      <c r="U150" s="39"/>
      <c r="V150" s="39"/>
      <c r="W150" s="39"/>
    </row>
    <row r="151" spans="3:23" s="37" customFormat="1" ht="12" x14ac:dyDescent="0.2">
      <c r="C151" s="38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41"/>
      <c r="S151" s="40"/>
      <c r="T151" s="41"/>
      <c r="U151" s="39"/>
      <c r="V151" s="39"/>
      <c r="W151" s="39"/>
    </row>
    <row r="152" spans="3:23" s="37" customFormat="1" ht="12" x14ac:dyDescent="0.2">
      <c r="C152" s="38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41"/>
      <c r="S152" s="40"/>
      <c r="T152" s="41"/>
      <c r="U152" s="39"/>
      <c r="V152" s="39"/>
      <c r="W152" s="39"/>
    </row>
    <row r="153" spans="3:23" s="37" customFormat="1" ht="12" x14ac:dyDescent="0.2">
      <c r="C153" s="38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41"/>
      <c r="S153" s="40"/>
      <c r="T153" s="41"/>
      <c r="U153" s="39"/>
      <c r="V153" s="39"/>
      <c r="W153" s="39"/>
    </row>
    <row r="154" spans="3:23" s="37" customFormat="1" ht="12" x14ac:dyDescent="0.2">
      <c r="C154" s="38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41"/>
      <c r="S154" s="40"/>
      <c r="T154" s="41"/>
      <c r="U154" s="39"/>
      <c r="V154" s="39"/>
      <c r="W154" s="39"/>
    </row>
    <row r="155" spans="3:23" s="37" customFormat="1" ht="12" x14ac:dyDescent="0.2">
      <c r="C155" s="38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41"/>
      <c r="S155" s="40"/>
      <c r="T155" s="41"/>
      <c r="U155" s="39"/>
      <c r="V155" s="39"/>
      <c r="W155" s="39"/>
    </row>
    <row r="156" spans="3:23" s="37" customFormat="1" ht="12" x14ac:dyDescent="0.2">
      <c r="C156" s="38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41"/>
      <c r="S156" s="40"/>
      <c r="T156" s="41"/>
      <c r="U156" s="39"/>
      <c r="V156" s="39"/>
      <c r="W156" s="39"/>
    </row>
    <row r="157" spans="3:23" s="37" customFormat="1" ht="12" x14ac:dyDescent="0.2">
      <c r="C157" s="38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41"/>
      <c r="S157" s="40"/>
      <c r="T157" s="41"/>
      <c r="U157" s="39"/>
      <c r="V157" s="39"/>
      <c r="W157" s="39"/>
    </row>
    <row r="158" spans="3:23" s="37" customFormat="1" ht="12" x14ac:dyDescent="0.2">
      <c r="C158" s="38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41"/>
      <c r="S158" s="40"/>
      <c r="T158" s="41"/>
      <c r="U158" s="39"/>
      <c r="V158" s="39"/>
      <c r="W158" s="39"/>
    </row>
    <row r="159" spans="3:23" s="37" customFormat="1" ht="12" x14ac:dyDescent="0.2">
      <c r="C159" s="38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41"/>
      <c r="S159" s="40"/>
      <c r="T159" s="41"/>
      <c r="U159" s="39"/>
      <c r="V159" s="39"/>
      <c r="W159" s="39"/>
    </row>
    <row r="160" spans="3:23" s="37" customFormat="1" ht="12" x14ac:dyDescent="0.2">
      <c r="C160" s="38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41"/>
      <c r="S160" s="40"/>
      <c r="T160" s="41"/>
      <c r="U160" s="39"/>
      <c r="V160" s="39"/>
      <c r="W160" s="39"/>
    </row>
    <row r="161" spans="3:23" s="37" customFormat="1" ht="12" x14ac:dyDescent="0.2">
      <c r="C161" s="38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41"/>
      <c r="S161" s="40"/>
      <c r="T161" s="41"/>
      <c r="U161" s="39"/>
      <c r="V161" s="39"/>
      <c r="W161" s="39"/>
    </row>
    <row r="162" spans="3:23" s="37" customFormat="1" ht="12" x14ac:dyDescent="0.2">
      <c r="C162" s="38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41"/>
      <c r="S162" s="40"/>
      <c r="T162" s="41"/>
      <c r="U162" s="39"/>
      <c r="V162" s="39"/>
      <c r="W162" s="39"/>
    </row>
    <row r="163" spans="3:23" s="37" customFormat="1" ht="12" x14ac:dyDescent="0.2">
      <c r="C163" s="38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41"/>
      <c r="S163" s="40"/>
      <c r="T163" s="41"/>
      <c r="U163" s="39"/>
      <c r="V163" s="39"/>
      <c r="W163" s="39"/>
    </row>
    <row r="164" spans="3:23" s="37" customFormat="1" ht="12" x14ac:dyDescent="0.2">
      <c r="C164" s="38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41"/>
      <c r="S164" s="40"/>
      <c r="T164" s="41"/>
      <c r="U164" s="39"/>
      <c r="V164" s="39"/>
      <c r="W164" s="39"/>
    </row>
    <row r="165" spans="3:23" s="37" customFormat="1" ht="12" x14ac:dyDescent="0.2">
      <c r="C165" s="38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41"/>
      <c r="S165" s="40"/>
      <c r="T165" s="41"/>
      <c r="U165" s="39"/>
      <c r="V165" s="39"/>
      <c r="W165" s="39"/>
    </row>
    <row r="166" spans="3:23" s="37" customFormat="1" ht="12" x14ac:dyDescent="0.2">
      <c r="C166" s="38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41"/>
      <c r="S166" s="40"/>
      <c r="T166" s="41"/>
      <c r="U166" s="39"/>
      <c r="V166" s="39"/>
      <c r="W166" s="39"/>
    </row>
    <row r="167" spans="3:23" s="37" customFormat="1" ht="12" x14ac:dyDescent="0.2">
      <c r="C167" s="38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41"/>
      <c r="S167" s="40"/>
      <c r="T167" s="41"/>
      <c r="U167" s="39"/>
      <c r="V167" s="39"/>
      <c r="W167" s="39"/>
    </row>
    <row r="168" spans="3:23" s="37" customFormat="1" ht="12" x14ac:dyDescent="0.2">
      <c r="C168" s="38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41"/>
      <c r="S168" s="40"/>
      <c r="T168" s="41"/>
      <c r="U168" s="39"/>
      <c r="V168" s="39"/>
      <c r="W168" s="39"/>
    </row>
    <row r="169" spans="3:23" s="37" customFormat="1" ht="12" x14ac:dyDescent="0.2">
      <c r="C169" s="38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41"/>
      <c r="S169" s="40"/>
      <c r="T169" s="41"/>
      <c r="U169" s="39"/>
      <c r="V169" s="39"/>
      <c r="W169" s="39"/>
    </row>
    <row r="170" spans="3:23" s="37" customFormat="1" ht="12" x14ac:dyDescent="0.2">
      <c r="C170" s="38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41"/>
      <c r="S170" s="40"/>
      <c r="T170" s="41"/>
      <c r="U170" s="39"/>
      <c r="V170" s="39"/>
      <c r="W170" s="39"/>
    </row>
    <row r="171" spans="3:23" s="37" customFormat="1" ht="12" x14ac:dyDescent="0.2">
      <c r="C171" s="38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41"/>
      <c r="S171" s="40"/>
      <c r="T171" s="41"/>
      <c r="U171" s="39"/>
      <c r="V171" s="39"/>
      <c r="W171" s="39"/>
    </row>
    <row r="172" spans="3:23" s="37" customFormat="1" ht="12" x14ac:dyDescent="0.2">
      <c r="C172" s="38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41"/>
      <c r="S172" s="40"/>
      <c r="T172" s="41"/>
      <c r="U172" s="39"/>
      <c r="V172" s="39"/>
      <c r="W172" s="39"/>
    </row>
    <row r="173" spans="3:23" s="37" customFormat="1" ht="12" x14ac:dyDescent="0.2">
      <c r="C173" s="38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41"/>
      <c r="S173" s="40"/>
      <c r="T173" s="41"/>
      <c r="U173" s="39"/>
      <c r="V173" s="39"/>
      <c r="W173" s="39"/>
    </row>
    <row r="174" spans="3:23" s="37" customFormat="1" ht="12" x14ac:dyDescent="0.2">
      <c r="C174" s="38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41"/>
      <c r="S174" s="40"/>
      <c r="T174" s="41"/>
      <c r="U174" s="39"/>
      <c r="V174" s="39"/>
      <c r="W174" s="39"/>
    </row>
    <row r="175" spans="3:23" s="37" customFormat="1" ht="12" x14ac:dyDescent="0.2">
      <c r="C175" s="38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41"/>
      <c r="S175" s="40"/>
      <c r="T175" s="41"/>
      <c r="U175" s="39"/>
      <c r="V175" s="39"/>
      <c r="W175" s="39"/>
    </row>
    <row r="176" spans="3:23" s="37" customFormat="1" ht="12" x14ac:dyDescent="0.2">
      <c r="C176" s="38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41"/>
      <c r="S176" s="40"/>
      <c r="T176" s="41"/>
      <c r="U176" s="39"/>
      <c r="V176" s="39"/>
      <c r="W176" s="39"/>
    </row>
    <row r="177" spans="3:23" s="37" customFormat="1" ht="12" x14ac:dyDescent="0.2">
      <c r="C177" s="38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41"/>
      <c r="S177" s="40"/>
      <c r="T177" s="41"/>
      <c r="U177" s="39"/>
      <c r="V177" s="39"/>
      <c r="W177" s="39"/>
    </row>
    <row r="178" spans="3:23" s="37" customFormat="1" ht="12" x14ac:dyDescent="0.2">
      <c r="C178" s="38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41"/>
      <c r="S178" s="40"/>
      <c r="T178" s="41"/>
      <c r="U178" s="39"/>
      <c r="V178" s="39"/>
      <c r="W178" s="39"/>
    </row>
    <row r="179" spans="3:23" s="37" customFormat="1" ht="12" x14ac:dyDescent="0.2">
      <c r="C179" s="38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41"/>
      <c r="S179" s="40"/>
      <c r="T179" s="41"/>
      <c r="U179" s="39"/>
      <c r="V179" s="39"/>
      <c r="W179" s="39"/>
    </row>
    <row r="180" spans="3:23" s="37" customFormat="1" ht="12" x14ac:dyDescent="0.2">
      <c r="C180" s="38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41"/>
      <c r="S180" s="40"/>
      <c r="T180" s="41"/>
      <c r="U180" s="39"/>
      <c r="V180" s="39"/>
      <c r="W180" s="39"/>
    </row>
    <row r="181" spans="3:23" s="37" customFormat="1" ht="12" x14ac:dyDescent="0.2">
      <c r="C181" s="38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41"/>
      <c r="S181" s="40"/>
      <c r="T181" s="41"/>
      <c r="U181" s="39"/>
      <c r="V181" s="39"/>
      <c r="W181" s="39"/>
    </row>
    <row r="182" spans="3:23" s="37" customFormat="1" ht="12" x14ac:dyDescent="0.2">
      <c r="C182" s="38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41"/>
      <c r="S182" s="40"/>
      <c r="T182" s="41"/>
      <c r="U182" s="39"/>
      <c r="V182" s="39"/>
      <c r="W182" s="39"/>
    </row>
    <row r="183" spans="3:23" s="37" customFormat="1" ht="12" x14ac:dyDescent="0.2">
      <c r="C183" s="38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41"/>
      <c r="S183" s="40"/>
      <c r="T183" s="41"/>
      <c r="U183" s="39"/>
      <c r="V183" s="39"/>
      <c r="W183" s="39"/>
    </row>
    <row r="184" spans="3:23" s="37" customFormat="1" ht="12" x14ac:dyDescent="0.2">
      <c r="C184" s="38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41"/>
      <c r="S184" s="40"/>
      <c r="T184" s="41"/>
      <c r="U184" s="39"/>
      <c r="V184" s="39"/>
      <c r="W184" s="39"/>
    </row>
    <row r="185" spans="3:23" s="37" customFormat="1" ht="12" x14ac:dyDescent="0.2">
      <c r="C185" s="38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41"/>
      <c r="S185" s="40"/>
      <c r="T185" s="41"/>
      <c r="U185" s="39"/>
      <c r="V185" s="39"/>
      <c r="W185" s="39"/>
    </row>
    <row r="186" spans="3:23" s="37" customFormat="1" ht="12" x14ac:dyDescent="0.2">
      <c r="C186" s="38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41"/>
      <c r="S186" s="40"/>
      <c r="T186" s="41"/>
      <c r="U186" s="39"/>
      <c r="V186" s="39"/>
      <c r="W186" s="39"/>
    </row>
    <row r="187" spans="3:23" s="37" customFormat="1" ht="12" x14ac:dyDescent="0.2">
      <c r="C187" s="38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41"/>
      <c r="S187" s="40"/>
      <c r="T187" s="41"/>
      <c r="U187" s="39"/>
      <c r="V187" s="39"/>
      <c r="W187" s="39"/>
    </row>
    <row r="188" spans="3:23" s="37" customFormat="1" ht="12" x14ac:dyDescent="0.2">
      <c r="C188" s="38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41"/>
      <c r="S188" s="40"/>
      <c r="T188" s="41"/>
      <c r="U188" s="39"/>
      <c r="V188" s="39"/>
      <c r="W188" s="39"/>
    </row>
    <row r="189" spans="3:23" s="37" customFormat="1" ht="12" x14ac:dyDescent="0.2">
      <c r="C189" s="38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41"/>
      <c r="S189" s="40"/>
      <c r="T189" s="41"/>
      <c r="U189" s="39"/>
      <c r="V189" s="39"/>
      <c r="W189" s="39"/>
    </row>
    <row r="190" spans="3:23" s="37" customFormat="1" ht="12" x14ac:dyDescent="0.2">
      <c r="C190" s="38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41"/>
      <c r="S190" s="40"/>
      <c r="T190" s="41"/>
      <c r="U190" s="39"/>
      <c r="V190" s="39"/>
      <c r="W190" s="39"/>
    </row>
    <row r="191" spans="3:23" s="37" customFormat="1" ht="12" x14ac:dyDescent="0.2">
      <c r="C191" s="38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41"/>
      <c r="S191" s="40"/>
      <c r="T191" s="41"/>
      <c r="U191" s="39"/>
      <c r="V191" s="39"/>
      <c r="W191" s="39"/>
    </row>
    <row r="192" spans="3:23" s="37" customFormat="1" ht="12" x14ac:dyDescent="0.2">
      <c r="C192" s="38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41"/>
      <c r="S192" s="40"/>
      <c r="T192" s="41"/>
      <c r="U192" s="39"/>
      <c r="V192" s="39"/>
      <c r="W192" s="39"/>
    </row>
    <row r="193" spans="3:23" s="37" customFormat="1" ht="12" x14ac:dyDescent="0.2">
      <c r="C193" s="38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41"/>
      <c r="S193" s="40"/>
      <c r="T193" s="41"/>
      <c r="U193" s="39"/>
      <c r="V193" s="39"/>
      <c r="W193" s="39"/>
    </row>
    <row r="194" spans="3:23" s="37" customFormat="1" ht="12" x14ac:dyDescent="0.2">
      <c r="C194" s="38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41"/>
      <c r="S194" s="40"/>
      <c r="T194" s="41"/>
      <c r="U194" s="39"/>
      <c r="V194" s="39"/>
      <c r="W194" s="39"/>
    </row>
    <row r="195" spans="3:23" s="37" customFormat="1" ht="12" x14ac:dyDescent="0.2">
      <c r="C195" s="38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41"/>
      <c r="S195" s="40"/>
      <c r="T195" s="41"/>
      <c r="U195" s="39"/>
      <c r="V195" s="39"/>
      <c r="W195" s="39"/>
    </row>
    <row r="196" spans="3:23" s="37" customFormat="1" ht="12" x14ac:dyDescent="0.2">
      <c r="C196" s="38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41"/>
      <c r="S196" s="40"/>
      <c r="T196" s="41"/>
      <c r="U196" s="39"/>
      <c r="V196" s="39"/>
      <c r="W196" s="39"/>
    </row>
    <row r="197" spans="3:23" s="37" customFormat="1" ht="12" x14ac:dyDescent="0.2">
      <c r="C197" s="38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41"/>
      <c r="S197" s="40"/>
      <c r="T197" s="41"/>
      <c r="U197" s="39"/>
      <c r="V197" s="39"/>
      <c r="W197" s="39"/>
    </row>
    <row r="198" spans="3:23" s="37" customFormat="1" ht="12" x14ac:dyDescent="0.2">
      <c r="C198" s="38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41"/>
      <c r="S198" s="40"/>
      <c r="T198" s="41"/>
      <c r="U198" s="39"/>
      <c r="V198" s="39"/>
      <c r="W198" s="39"/>
    </row>
    <row r="199" spans="3:23" s="37" customFormat="1" ht="12" x14ac:dyDescent="0.2">
      <c r="C199" s="38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41"/>
      <c r="S199" s="40"/>
      <c r="T199" s="41"/>
      <c r="U199" s="39"/>
      <c r="V199" s="39"/>
      <c r="W199" s="39"/>
    </row>
    <row r="200" spans="3:23" s="37" customFormat="1" ht="12" x14ac:dyDescent="0.2">
      <c r="C200" s="38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41"/>
      <c r="S200" s="40"/>
      <c r="T200" s="41"/>
      <c r="U200" s="39"/>
      <c r="V200" s="39"/>
      <c r="W200" s="39"/>
    </row>
    <row r="201" spans="3:23" s="37" customFormat="1" ht="12" x14ac:dyDescent="0.2">
      <c r="C201" s="38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41"/>
      <c r="S201" s="40"/>
      <c r="T201" s="41"/>
      <c r="U201" s="39"/>
      <c r="V201" s="39"/>
      <c r="W201" s="39"/>
    </row>
    <row r="202" spans="3:23" s="37" customFormat="1" ht="12" x14ac:dyDescent="0.2">
      <c r="C202" s="38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41"/>
      <c r="S202" s="40"/>
      <c r="T202" s="41"/>
      <c r="U202" s="39"/>
      <c r="V202" s="39"/>
      <c r="W202" s="39"/>
    </row>
    <row r="203" spans="3:23" s="37" customFormat="1" ht="12" x14ac:dyDescent="0.2">
      <c r="C203" s="38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41"/>
      <c r="S203" s="40"/>
      <c r="T203" s="41"/>
      <c r="U203" s="39"/>
      <c r="V203" s="39"/>
      <c r="W203" s="39"/>
    </row>
    <row r="204" spans="3:23" s="37" customFormat="1" ht="12" x14ac:dyDescent="0.2">
      <c r="C204" s="38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41"/>
      <c r="S204" s="40"/>
      <c r="T204" s="41"/>
      <c r="U204" s="39"/>
      <c r="V204" s="39"/>
      <c r="W204" s="39"/>
    </row>
    <row r="205" spans="3:23" s="37" customFormat="1" ht="12" x14ac:dyDescent="0.2">
      <c r="C205" s="38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41"/>
      <c r="S205" s="40"/>
      <c r="T205" s="41"/>
      <c r="U205" s="39"/>
      <c r="V205" s="39"/>
      <c r="W205" s="39"/>
    </row>
    <row r="206" spans="3:23" s="37" customFormat="1" ht="12" x14ac:dyDescent="0.2">
      <c r="C206" s="38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41"/>
      <c r="S206" s="40"/>
      <c r="T206" s="41"/>
      <c r="U206" s="39"/>
      <c r="V206" s="39"/>
      <c r="W206" s="39"/>
    </row>
    <row r="207" spans="3:23" s="37" customFormat="1" ht="12" x14ac:dyDescent="0.2">
      <c r="C207" s="38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41"/>
      <c r="S207" s="40"/>
      <c r="T207" s="41"/>
      <c r="U207" s="39"/>
      <c r="V207" s="39"/>
      <c r="W207" s="39"/>
    </row>
    <row r="208" spans="3:23" s="37" customFormat="1" ht="12" x14ac:dyDescent="0.2">
      <c r="C208" s="38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41"/>
      <c r="S208" s="40"/>
      <c r="T208" s="41"/>
      <c r="U208" s="39"/>
      <c r="V208" s="39"/>
      <c r="W208" s="39"/>
    </row>
    <row r="209" spans="3:23" s="37" customFormat="1" ht="12" x14ac:dyDescent="0.2">
      <c r="C209" s="38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41"/>
      <c r="S209" s="40"/>
      <c r="T209" s="41"/>
      <c r="U209" s="39"/>
      <c r="V209" s="39"/>
      <c r="W209" s="39"/>
    </row>
    <row r="210" spans="3:23" s="37" customFormat="1" ht="12" x14ac:dyDescent="0.2">
      <c r="C210" s="38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41"/>
      <c r="S210" s="40"/>
      <c r="T210" s="41"/>
      <c r="U210" s="39"/>
      <c r="V210" s="39"/>
      <c r="W210" s="39"/>
    </row>
    <row r="211" spans="3:23" s="37" customFormat="1" ht="12" x14ac:dyDescent="0.2">
      <c r="C211" s="38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41"/>
      <c r="S211" s="40"/>
      <c r="T211" s="41"/>
      <c r="U211" s="39"/>
      <c r="V211" s="39"/>
      <c r="W211" s="39"/>
    </row>
    <row r="212" spans="3:23" s="37" customFormat="1" ht="12" x14ac:dyDescent="0.2">
      <c r="C212" s="38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41"/>
      <c r="S212" s="40"/>
      <c r="T212" s="41"/>
      <c r="U212" s="39"/>
      <c r="V212" s="39"/>
      <c r="W212" s="39"/>
    </row>
    <row r="213" spans="3:23" s="37" customFormat="1" ht="12" x14ac:dyDescent="0.2">
      <c r="C213" s="38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41"/>
      <c r="S213" s="40"/>
      <c r="T213" s="41"/>
      <c r="U213" s="39"/>
      <c r="V213" s="39"/>
      <c r="W213" s="39"/>
    </row>
    <row r="214" spans="3:23" s="37" customFormat="1" ht="12" x14ac:dyDescent="0.2">
      <c r="C214" s="38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41"/>
      <c r="S214" s="40"/>
      <c r="T214" s="41"/>
      <c r="U214" s="39"/>
      <c r="V214" s="39"/>
      <c r="W214" s="39"/>
    </row>
    <row r="215" spans="3:23" s="37" customFormat="1" ht="12" x14ac:dyDescent="0.2">
      <c r="C215" s="38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41"/>
      <c r="S215" s="40"/>
      <c r="T215" s="41"/>
      <c r="U215" s="39"/>
      <c r="V215" s="39"/>
      <c r="W215" s="39"/>
    </row>
    <row r="216" spans="3:23" s="37" customFormat="1" ht="12" x14ac:dyDescent="0.2">
      <c r="C216" s="38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41"/>
      <c r="S216" s="40"/>
      <c r="T216" s="41"/>
      <c r="U216" s="39"/>
      <c r="V216" s="39"/>
      <c r="W216" s="39"/>
    </row>
    <row r="217" spans="3:23" s="37" customFormat="1" ht="12" x14ac:dyDescent="0.2">
      <c r="C217" s="38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41"/>
      <c r="S217" s="40"/>
      <c r="T217" s="41"/>
      <c r="U217" s="39"/>
      <c r="V217" s="39"/>
      <c r="W217" s="39"/>
    </row>
    <row r="218" spans="3:23" s="37" customFormat="1" ht="12" x14ac:dyDescent="0.2">
      <c r="C218" s="38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41"/>
      <c r="S218" s="40"/>
      <c r="T218" s="41"/>
      <c r="U218" s="39"/>
      <c r="V218" s="39"/>
      <c r="W218" s="39"/>
    </row>
    <row r="219" spans="3:23" s="37" customFormat="1" ht="12" x14ac:dyDescent="0.2">
      <c r="C219" s="38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41"/>
      <c r="S219" s="40"/>
      <c r="T219" s="41"/>
      <c r="U219" s="39"/>
      <c r="V219" s="39"/>
      <c r="W219" s="39"/>
    </row>
    <row r="220" spans="3:23" s="37" customFormat="1" ht="12" x14ac:dyDescent="0.2">
      <c r="C220" s="38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41"/>
      <c r="S220" s="40"/>
      <c r="T220" s="41"/>
      <c r="U220" s="39"/>
      <c r="V220" s="39"/>
      <c r="W220" s="39"/>
    </row>
    <row r="221" spans="3:23" s="37" customFormat="1" ht="12" x14ac:dyDescent="0.2">
      <c r="C221" s="38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41"/>
      <c r="S221" s="40"/>
      <c r="T221" s="41"/>
      <c r="U221" s="39"/>
      <c r="V221" s="39"/>
      <c r="W221" s="39"/>
    </row>
    <row r="222" spans="3:23" s="37" customFormat="1" ht="12" x14ac:dyDescent="0.2">
      <c r="C222" s="38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41"/>
      <c r="S222" s="40"/>
      <c r="T222" s="41"/>
      <c r="U222" s="39"/>
      <c r="V222" s="39"/>
      <c r="W222" s="39"/>
    </row>
    <row r="223" spans="3:23" s="37" customFormat="1" ht="12" x14ac:dyDescent="0.2">
      <c r="C223" s="38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41"/>
      <c r="S223" s="40"/>
      <c r="T223" s="41"/>
      <c r="U223" s="39"/>
      <c r="V223" s="39"/>
      <c r="W223" s="39"/>
    </row>
    <row r="224" spans="3:23" s="37" customFormat="1" ht="12" x14ac:dyDescent="0.2">
      <c r="C224" s="38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41"/>
      <c r="S224" s="40"/>
      <c r="T224" s="41"/>
      <c r="U224" s="39"/>
      <c r="V224" s="39"/>
      <c r="W224" s="39"/>
    </row>
    <row r="225" spans="3:23" s="37" customFormat="1" ht="12" x14ac:dyDescent="0.2">
      <c r="C225" s="38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41"/>
      <c r="S225" s="40"/>
      <c r="T225" s="41"/>
      <c r="U225" s="39"/>
      <c r="V225" s="39"/>
      <c r="W225" s="39"/>
    </row>
    <row r="226" spans="3:23" s="37" customFormat="1" ht="12" x14ac:dyDescent="0.2">
      <c r="C226" s="38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41"/>
      <c r="S226" s="40"/>
      <c r="T226" s="41"/>
      <c r="U226" s="39"/>
      <c r="V226" s="39"/>
      <c r="W226" s="39"/>
    </row>
    <row r="227" spans="3:23" s="37" customFormat="1" ht="12" x14ac:dyDescent="0.2">
      <c r="C227" s="38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41"/>
      <c r="S227" s="40"/>
      <c r="T227" s="41"/>
      <c r="U227" s="39"/>
      <c r="V227" s="39"/>
      <c r="W227" s="39"/>
    </row>
    <row r="228" spans="3:23" s="37" customFormat="1" ht="12" x14ac:dyDescent="0.2">
      <c r="C228" s="38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41"/>
      <c r="S228" s="40"/>
      <c r="T228" s="41"/>
      <c r="U228" s="39"/>
      <c r="V228" s="39"/>
      <c r="W228" s="39"/>
    </row>
    <row r="229" spans="3:23" s="37" customFormat="1" ht="12" x14ac:dyDescent="0.2">
      <c r="C229" s="38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41"/>
      <c r="S229" s="40"/>
      <c r="T229" s="41"/>
      <c r="U229" s="39"/>
      <c r="V229" s="39"/>
      <c r="W229" s="39"/>
    </row>
    <row r="230" spans="3:23" s="37" customFormat="1" ht="12" x14ac:dyDescent="0.2">
      <c r="C230" s="38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41"/>
      <c r="S230" s="40"/>
      <c r="T230" s="41"/>
      <c r="U230" s="39"/>
      <c r="V230" s="39"/>
      <c r="W230" s="39"/>
    </row>
    <row r="231" spans="3:23" s="37" customFormat="1" ht="12" x14ac:dyDescent="0.2">
      <c r="C231" s="38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41"/>
      <c r="S231" s="40"/>
      <c r="T231" s="41"/>
      <c r="U231" s="39"/>
      <c r="V231" s="39"/>
      <c r="W231" s="39"/>
    </row>
    <row r="232" spans="3:23" s="37" customFormat="1" ht="12" x14ac:dyDescent="0.2">
      <c r="C232" s="38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41"/>
      <c r="S232" s="40"/>
      <c r="T232" s="41"/>
      <c r="U232" s="39"/>
      <c r="V232" s="39"/>
      <c r="W232" s="39"/>
    </row>
    <row r="233" spans="3:23" s="37" customFormat="1" ht="12" x14ac:dyDescent="0.2">
      <c r="C233" s="38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41"/>
      <c r="S233" s="40"/>
      <c r="T233" s="41"/>
      <c r="U233" s="39"/>
      <c r="V233" s="39"/>
      <c r="W233" s="39"/>
    </row>
    <row r="234" spans="3:23" s="37" customFormat="1" ht="12" x14ac:dyDescent="0.2">
      <c r="C234" s="38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41"/>
      <c r="S234" s="40"/>
      <c r="T234" s="41"/>
      <c r="U234" s="39"/>
      <c r="V234" s="39"/>
      <c r="W234" s="39"/>
    </row>
    <row r="235" spans="3:23" s="37" customFormat="1" ht="12" x14ac:dyDescent="0.2">
      <c r="C235" s="38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41"/>
      <c r="S235" s="40"/>
      <c r="T235" s="41"/>
      <c r="U235" s="39"/>
      <c r="V235" s="39"/>
      <c r="W235" s="39"/>
    </row>
    <row r="236" spans="3:23" s="37" customFormat="1" ht="12" x14ac:dyDescent="0.2">
      <c r="C236" s="38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41"/>
      <c r="S236" s="40"/>
      <c r="T236" s="41"/>
      <c r="U236" s="39"/>
      <c r="V236" s="39"/>
      <c r="W236" s="39"/>
    </row>
    <row r="237" spans="3:23" s="37" customFormat="1" ht="12" x14ac:dyDescent="0.2">
      <c r="C237" s="38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41"/>
      <c r="S237" s="40"/>
      <c r="T237" s="41"/>
      <c r="U237" s="39"/>
      <c r="V237" s="39"/>
      <c r="W237" s="39"/>
    </row>
    <row r="238" spans="3:23" s="37" customFormat="1" ht="12" x14ac:dyDescent="0.2">
      <c r="C238" s="38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41"/>
      <c r="S238" s="40"/>
      <c r="T238" s="41"/>
      <c r="U238" s="39"/>
      <c r="V238" s="39"/>
      <c r="W238" s="39"/>
    </row>
    <row r="239" spans="3:23" s="37" customFormat="1" ht="12" x14ac:dyDescent="0.2">
      <c r="C239" s="38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41"/>
      <c r="S239" s="40"/>
      <c r="T239" s="41"/>
      <c r="U239" s="39"/>
      <c r="V239" s="39"/>
      <c r="W239" s="39"/>
    </row>
    <row r="240" spans="3:23" s="37" customFormat="1" ht="12" x14ac:dyDescent="0.2">
      <c r="C240" s="38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41"/>
      <c r="S240" s="40"/>
      <c r="T240" s="41"/>
      <c r="U240" s="39"/>
      <c r="V240" s="39"/>
      <c r="W240" s="39"/>
    </row>
    <row r="241" spans="3:23" s="37" customFormat="1" ht="12" x14ac:dyDescent="0.2">
      <c r="C241" s="38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41"/>
      <c r="S241" s="40"/>
      <c r="T241" s="41"/>
      <c r="U241" s="39"/>
      <c r="V241" s="39"/>
      <c r="W241" s="39"/>
    </row>
    <row r="242" spans="3:23" s="37" customFormat="1" ht="12" x14ac:dyDescent="0.2">
      <c r="C242" s="38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41"/>
      <c r="S242" s="40"/>
      <c r="T242" s="41"/>
      <c r="U242" s="39"/>
      <c r="V242" s="39"/>
      <c r="W242" s="39"/>
    </row>
    <row r="243" spans="3:23" s="37" customFormat="1" ht="12" x14ac:dyDescent="0.2">
      <c r="C243" s="38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41"/>
      <c r="S243" s="40"/>
      <c r="T243" s="41"/>
      <c r="U243" s="39"/>
      <c r="V243" s="39"/>
      <c r="W243" s="39"/>
    </row>
    <row r="244" spans="3:23" s="37" customFormat="1" ht="12" x14ac:dyDescent="0.2">
      <c r="C244" s="38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41"/>
      <c r="S244" s="40"/>
      <c r="T244" s="41"/>
      <c r="U244" s="39"/>
      <c r="V244" s="39"/>
      <c r="W244" s="39"/>
    </row>
    <row r="245" spans="3:23" s="37" customFormat="1" ht="12" x14ac:dyDescent="0.2">
      <c r="C245" s="38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41"/>
      <c r="S245" s="40"/>
      <c r="T245" s="41"/>
      <c r="U245" s="39"/>
      <c r="V245" s="39"/>
      <c r="W245" s="39"/>
    </row>
    <row r="246" spans="3:23" s="37" customFormat="1" ht="12" x14ac:dyDescent="0.2">
      <c r="C246" s="38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41"/>
      <c r="S246" s="40"/>
      <c r="T246" s="41"/>
      <c r="U246" s="39"/>
      <c r="V246" s="39"/>
      <c r="W246" s="39"/>
    </row>
    <row r="247" spans="3:23" s="37" customFormat="1" ht="12" x14ac:dyDescent="0.2">
      <c r="C247" s="38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41"/>
      <c r="S247" s="40"/>
      <c r="T247" s="41"/>
      <c r="U247" s="39"/>
      <c r="V247" s="39"/>
      <c r="W247" s="39"/>
    </row>
    <row r="248" spans="3:23" s="37" customFormat="1" ht="12" x14ac:dyDescent="0.2">
      <c r="C248" s="38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41"/>
      <c r="S248" s="40"/>
      <c r="T248" s="41"/>
      <c r="U248" s="39"/>
      <c r="V248" s="39"/>
      <c r="W248" s="39"/>
    </row>
    <row r="249" spans="3:23" s="37" customFormat="1" ht="12" x14ac:dyDescent="0.2">
      <c r="C249" s="38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41"/>
      <c r="S249" s="40"/>
      <c r="T249" s="41"/>
      <c r="U249" s="39"/>
      <c r="V249" s="39"/>
      <c r="W249" s="39"/>
    </row>
    <row r="250" spans="3:23" s="37" customFormat="1" ht="12" x14ac:dyDescent="0.2">
      <c r="C250" s="38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41"/>
      <c r="S250" s="40"/>
      <c r="T250" s="41"/>
      <c r="U250" s="39"/>
      <c r="V250" s="39"/>
      <c r="W250" s="39"/>
    </row>
    <row r="251" spans="3:23" s="37" customFormat="1" ht="12" x14ac:dyDescent="0.2">
      <c r="C251" s="38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41"/>
      <c r="S251" s="40"/>
      <c r="T251" s="41"/>
      <c r="U251" s="39"/>
      <c r="V251" s="39"/>
      <c r="W251" s="39"/>
    </row>
    <row r="252" spans="3:23" s="37" customFormat="1" ht="12" x14ac:dyDescent="0.2">
      <c r="C252" s="38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41"/>
      <c r="S252" s="40"/>
      <c r="T252" s="41"/>
      <c r="U252" s="39"/>
      <c r="V252" s="39"/>
      <c r="W252" s="39"/>
    </row>
    <row r="253" spans="3:23" s="37" customFormat="1" ht="12" x14ac:dyDescent="0.2">
      <c r="C253" s="38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41"/>
      <c r="S253" s="40"/>
      <c r="T253" s="41"/>
      <c r="U253" s="39"/>
      <c r="V253" s="39"/>
      <c r="W253" s="39"/>
    </row>
    <row r="254" spans="3:23" s="37" customFormat="1" ht="12" x14ac:dyDescent="0.2">
      <c r="C254" s="38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41"/>
      <c r="S254" s="40"/>
      <c r="T254" s="41"/>
      <c r="U254" s="39"/>
      <c r="V254" s="39"/>
      <c r="W254" s="39"/>
    </row>
    <row r="255" spans="3:23" s="37" customFormat="1" ht="12" x14ac:dyDescent="0.2">
      <c r="C255" s="38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41"/>
      <c r="S255" s="40"/>
      <c r="T255" s="41"/>
      <c r="U255" s="39"/>
      <c r="V255" s="39"/>
      <c r="W255" s="39"/>
    </row>
    <row r="256" spans="3:23" s="37" customFormat="1" ht="12" x14ac:dyDescent="0.2">
      <c r="C256" s="38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41"/>
      <c r="S256" s="40"/>
      <c r="T256" s="41"/>
      <c r="U256" s="39"/>
      <c r="V256" s="39"/>
      <c r="W256" s="39"/>
    </row>
    <row r="257" spans="3:23" s="37" customFormat="1" ht="12" x14ac:dyDescent="0.2">
      <c r="C257" s="38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41"/>
      <c r="S257" s="40"/>
      <c r="T257" s="41"/>
      <c r="U257" s="39"/>
      <c r="V257" s="39"/>
      <c r="W257" s="39"/>
    </row>
    <row r="258" spans="3:23" s="37" customFormat="1" ht="12" x14ac:dyDescent="0.2">
      <c r="C258" s="38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41"/>
      <c r="S258" s="40"/>
      <c r="T258" s="41"/>
      <c r="U258" s="39"/>
      <c r="V258" s="39"/>
      <c r="W258" s="39"/>
    </row>
    <row r="259" spans="3:23" s="37" customFormat="1" ht="12" x14ac:dyDescent="0.2">
      <c r="C259" s="38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41"/>
      <c r="S259" s="40"/>
      <c r="T259" s="41"/>
      <c r="U259" s="39"/>
      <c r="V259" s="39"/>
      <c r="W259" s="39"/>
    </row>
    <row r="260" spans="3:23" s="37" customFormat="1" ht="12" x14ac:dyDescent="0.2">
      <c r="C260" s="38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41"/>
      <c r="S260" s="40"/>
      <c r="T260" s="41"/>
      <c r="U260" s="39"/>
      <c r="V260" s="39"/>
      <c r="W260" s="39"/>
    </row>
    <row r="261" spans="3:23" s="37" customFormat="1" ht="12" x14ac:dyDescent="0.2">
      <c r="C261" s="38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41"/>
      <c r="S261" s="40"/>
      <c r="T261" s="41"/>
      <c r="U261" s="39"/>
      <c r="V261" s="39"/>
      <c r="W261" s="39"/>
    </row>
    <row r="262" spans="3:23" s="37" customFormat="1" ht="12" x14ac:dyDescent="0.2">
      <c r="C262" s="38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41"/>
      <c r="S262" s="40"/>
      <c r="T262" s="41"/>
      <c r="U262" s="39"/>
      <c r="V262" s="39"/>
      <c r="W262" s="39"/>
    </row>
    <row r="263" spans="3:23" s="37" customFormat="1" ht="12" x14ac:dyDescent="0.2">
      <c r="C263" s="38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41"/>
      <c r="S263" s="40"/>
      <c r="T263" s="41"/>
      <c r="U263" s="39"/>
      <c r="V263" s="39"/>
      <c r="W263" s="39"/>
    </row>
    <row r="264" spans="3:23" s="37" customFormat="1" ht="12" x14ac:dyDescent="0.2">
      <c r="C264" s="38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41"/>
      <c r="S264" s="40"/>
      <c r="T264" s="41"/>
      <c r="U264" s="39"/>
      <c r="V264" s="39"/>
      <c r="W264" s="39"/>
    </row>
    <row r="265" spans="3:23" s="37" customFormat="1" ht="12" x14ac:dyDescent="0.2">
      <c r="C265" s="38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41"/>
      <c r="S265" s="40"/>
      <c r="T265" s="41"/>
      <c r="U265" s="39"/>
      <c r="V265" s="39"/>
      <c r="W265" s="39"/>
    </row>
    <row r="266" spans="3:23" s="37" customFormat="1" ht="12" x14ac:dyDescent="0.2">
      <c r="C266" s="38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41"/>
      <c r="S266" s="40"/>
      <c r="T266" s="41"/>
      <c r="U266" s="39"/>
      <c r="V266" s="39"/>
      <c r="W266" s="39"/>
    </row>
    <row r="267" spans="3:23" s="37" customFormat="1" ht="12" x14ac:dyDescent="0.2">
      <c r="C267" s="38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41"/>
      <c r="S267" s="40"/>
      <c r="T267" s="41"/>
      <c r="U267" s="39"/>
      <c r="V267" s="39"/>
      <c r="W267" s="39"/>
    </row>
    <row r="268" spans="3:23" s="37" customFormat="1" ht="12" x14ac:dyDescent="0.2">
      <c r="C268" s="38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41"/>
      <c r="S268" s="40"/>
      <c r="T268" s="41"/>
      <c r="U268" s="39"/>
      <c r="V268" s="39"/>
      <c r="W268" s="39"/>
    </row>
    <row r="269" spans="3:23" s="37" customFormat="1" ht="12" x14ac:dyDescent="0.2">
      <c r="C269" s="38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41"/>
      <c r="S269" s="40"/>
      <c r="T269" s="41"/>
      <c r="U269" s="39"/>
      <c r="V269" s="39"/>
      <c r="W269" s="39"/>
    </row>
    <row r="270" spans="3:23" s="37" customFormat="1" ht="12" x14ac:dyDescent="0.2">
      <c r="C270" s="38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41"/>
      <c r="S270" s="40"/>
      <c r="T270" s="41"/>
      <c r="U270" s="39"/>
      <c r="V270" s="39"/>
      <c r="W270" s="39"/>
    </row>
    <row r="271" spans="3:23" s="37" customFormat="1" ht="12" x14ac:dyDescent="0.2">
      <c r="C271" s="38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41"/>
      <c r="S271" s="40"/>
      <c r="T271" s="41"/>
      <c r="U271" s="39"/>
      <c r="V271" s="39"/>
      <c r="W271" s="39"/>
    </row>
    <row r="272" spans="3:23" s="37" customFormat="1" ht="12" x14ac:dyDescent="0.2">
      <c r="C272" s="38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41"/>
      <c r="S272" s="40"/>
      <c r="T272" s="41"/>
      <c r="U272" s="39"/>
      <c r="V272" s="39"/>
      <c r="W272" s="39"/>
    </row>
    <row r="273" spans="3:23" s="37" customFormat="1" ht="12" x14ac:dyDescent="0.2">
      <c r="C273" s="38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41"/>
      <c r="S273" s="40"/>
      <c r="T273" s="41"/>
      <c r="U273" s="39"/>
      <c r="V273" s="39"/>
      <c r="W273" s="39"/>
    </row>
    <row r="274" spans="3:23" s="37" customFormat="1" ht="12" x14ac:dyDescent="0.2">
      <c r="C274" s="38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41"/>
      <c r="S274" s="40"/>
      <c r="T274" s="41"/>
      <c r="U274" s="39"/>
      <c r="V274" s="39"/>
      <c r="W274" s="39"/>
    </row>
    <row r="275" spans="3:23" s="37" customFormat="1" ht="12" x14ac:dyDescent="0.2">
      <c r="C275" s="38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41"/>
      <c r="S275" s="40"/>
      <c r="T275" s="41"/>
      <c r="U275" s="39"/>
      <c r="V275" s="39"/>
      <c r="W275" s="39"/>
    </row>
    <row r="276" spans="3:23" s="37" customFormat="1" ht="12" x14ac:dyDescent="0.2">
      <c r="C276" s="38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41"/>
      <c r="S276" s="40"/>
      <c r="T276" s="41"/>
      <c r="U276" s="39"/>
      <c r="V276" s="39"/>
      <c r="W276" s="39"/>
    </row>
    <row r="277" spans="3:23" x14ac:dyDescent="0.25"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R277" s="27"/>
      <c r="S277" s="23"/>
      <c r="T277" s="27"/>
      <c r="U277" s="22"/>
      <c r="V277" s="22"/>
      <c r="W277" s="22"/>
    </row>
  </sheetData>
  <sheetProtection algorithmName="SHA-512" hashValue="4jMRylvaa6DebTJIfPfLRXpeMMQ5TlJ0VVSu30BfZ4ZvIjUw3dICVBgGF4DZjalh8ZQWAJ+W2MyA7saBXEpqdg==" saltValue="iBuCzn/UvmwjOXVjtPhMcQ==" spinCount="100000" sheet="1" objects="1" scenarios="1" selectLockedCells="1"/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1"/>
  </sheetPr>
  <dimension ref="A1:W277"/>
  <sheetViews>
    <sheetView workbookViewId="0">
      <selection sqref="A1:XFD1048576"/>
    </sheetView>
  </sheetViews>
  <sheetFormatPr defaultColWidth="8.85546875" defaultRowHeight="15" x14ac:dyDescent="0.25"/>
  <cols>
    <col min="1" max="2" width="3.140625" style="14" customWidth="1"/>
    <col min="3" max="3" width="7.85546875" style="20" customWidth="1"/>
    <col min="4" max="4" width="31.85546875" style="14" customWidth="1"/>
    <col min="5" max="10" width="8.85546875" style="14" bestFit="1" customWidth="1"/>
    <col min="11" max="16" width="9.140625" style="14" bestFit="1" customWidth="1"/>
    <col min="17" max="17" width="8.85546875" style="22"/>
    <col min="18" max="18" width="2.140625" style="28" customWidth="1"/>
    <col min="19" max="19" width="8.85546875" style="21"/>
    <col min="20" max="20" width="2.140625" style="28" customWidth="1"/>
    <col min="21" max="16384" width="8.85546875" style="14"/>
  </cols>
  <sheetData>
    <row r="1" spans="1:23" s="1" customFormat="1" ht="21" x14ac:dyDescent="0.35">
      <c r="A1" s="11" t="str">
        <f>'Rev &amp; Enroll'!$F$5</f>
        <v>Nevada State High School (CSO)</v>
      </c>
      <c r="B1" s="11"/>
      <c r="C1" s="17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4"/>
      <c r="R1" s="24"/>
      <c r="S1" s="3"/>
      <c r="T1" s="29"/>
      <c r="U1" s="2"/>
      <c r="V1" s="2"/>
    </row>
    <row r="2" spans="1:23" s="1" customFormat="1" x14ac:dyDescent="0.25">
      <c r="A2" s="12" t="str">
        <f>CONCATENATE("Monthly Cash Flow/Budget"," ",MYP!K4)</f>
        <v>Monthly Cash Flow/Budget FY24</v>
      </c>
      <c r="B2" s="12"/>
      <c r="C2" s="17"/>
      <c r="D2" s="13"/>
      <c r="E2" s="2"/>
      <c r="F2" s="2"/>
      <c r="G2" s="2"/>
      <c r="H2" s="2"/>
      <c r="I2" s="2"/>
      <c r="J2" s="2"/>
      <c r="M2" s="2"/>
      <c r="N2" s="2"/>
      <c r="O2" s="2"/>
      <c r="Q2" s="8"/>
      <c r="R2" s="25"/>
      <c r="S2" s="2"/>
      <c r="T2" s="29"/>
      <c r="U2" s="4"/>
      <c r="V2" s="4"/>
    </row>
    <row r="3" spans="1:23" s="6" customFormat="1" ht="13.5" customHeight="1" x14ac:dyDescent="0.2">
      <c r="A3" s="5" t="str">
        <f>'FY21'!A3</f>
        <v>Board Approved: Proposed: 4/16/2020</v>
      </c>
      <c r="B3" s="5"/>
      <c r="C3" s="1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8"/>
      <c r="R3" s="25"/>
      <c r="S3" s="7"/>
      <c r="T3" s="31"/>
      <c r="U3" s="7"/>
      <c r="V3" s="7"/>
    </row>
    <row r="4" spans="1:23" s="9" customFormat="1" ht="29.45" customHeight="1" x14ac:dyDescent="0.25">
      <c r="C4" s="19"/>
      <c r="D4" s="10"/>
      <c r="E4" s="33">
        <f>'FY21'!E4+(365*3)</f>
        <v>45108</v>
      </c>
      <c r="F4" s="33">
        <f t="shared" ref="F4:P4" si="0">E4+31</f>
        <v>45139</v>
      </c>
      <c r="G4" s="33">
        <f t="shared" si="0"/>
        <v>45170</v>
      </c>
      <c r="H4" s="33">
        <f t="shared" si="0"/>
        <v>45201</v>
      </c>
      <c r="I4" s="33">
        <f t="shared" si="0"/>
        <v>45232</v>
      </c>
      <c r="J4" s="33">
        <f t="shared" si="0"/>
        <v>45263</v>
      </c>
      <c r="K4" s="33">
        <f t="shared" si="0"/>
        <v>45294</v>
      </c>
      <c r="L4" s="33">
        <f t="shared" si="0"/>
        <v>45325</v>
      </c>
      <c r="M4" s="33">
        <f t="shared" si="0"/>
        <v>45356</v>
      </c>
      <c r="N4" s="33">
        <f t="shared" si="0"/>
        <v>45387</v>
      </c>
      <c r="O4" s="33">
        <f t="shared" si="0"/>
        <v>45418</v>
      </c>
      <c r="P4" s="56">
        <f t="shared" si="0"/>
        <v>45449</v>
      </c>
      <c r="Q4" s="35" t="s">
        <v>54</v>
      </c>
      <c r="R4" s="26"/>
      <c r="S4" s="58" t="s">
        <v>55</v>
      </c>
      <c r="T4" s="32"/>
      <c r="U4" s="33" t="s">
        <v>57</v>
      </c>
      <c r="V4" s="33" t="s">
        <v>56</v>
      </c>
    </row>
    <row r="5" spans="1:23" s="9" customFormat="1" ht="12" x14ac:dyDescent="0.2">
      <c r="C5" s="19"/>
      <c r="D5" s="207" t="s">
        <v>184</v>
      </c>
      <c r="E5" s="323">
        <f>IF(('Rev &amp; Enroll'!$F37*'Rev &amp; Enroll'!$F24)&gt;500000,0.08333,0)</f>
        <v>8.3330000000000001E-2</v>
      </c>
      <c r="F5" s="323">
        <f>IF(('Rev &amp; Enroll'!$F37*'Rev &amp; Enroll'!$F24)&gt;500000,0.08333,0.25)</f>
        <v>8.3330000000000001E-2</v>
      </c>
      <c r="G5" s="323">
        <f>IF(('Rev &amp; Enroll'!$F37*'Rev &amp; Enroll'!$F24)&gt;500000,0.08333,0)</f>
        <v>8.3330000000000001E-2</v>
      </c>
      <c r="H5" s="323">
        <f>IF(('Rev &amp; Enroll'!$F37*'Rev &amp; Enroll'!$F24)&gt;500000,0.08333,0)</f>
        <v>8.3330000000000001E-2</v>
      </c>
      <c r="I5" s="323">
        <f>IF(('Rev &amp; Enroll'!$F37*'Rev &amp; Enroll'!$F24)&gt;500000,0.08333,0.25)</f>
        <v>8.3330000000000001E-2</v>
      </c>
      <c r="J5" s="323">
        <f>IF(('Rev &amp; Enroll'!$F37*'Rev &amp; Enroll'!$F24)&gt;500000,0.08333,0)</f>
        <v>8.3330000000000001E-2</v>
      </c>
      <c r="K5" s="323">
        <f>IF(('Rev &amp; Enroll'!$F37*'Rev &amp; Enroll'!$F24)&gt;500000,0.08333,0)</f>
        <v>8.3330000000000001E-2</v>
      </c>
      <c r="L5" s="323">
        <f>IF(('Rev &amp; Enroll'!$F37*'Rev &amp; Enroll'!$F24)&gt;500000,0.08333,0.25)</f>
        <v>8.3330000000000001E-2</v>
      </c>
      <c r="M5" s="323">
        <f>IF(('Rev &amp; Enroll'!$F37*'Rev &amp; Enroll'!$F24)&gt;500000,0.08333,0)</f>
        <v>8.3330000000000001E-2</v>
      </c>
      <c r="N5" s="323">
        <f>IF(('Rev &amp; Enroll'!$F37*'Rev &amp; Enroll'!$F24)&gt;500000,0.08333,0)</f>
        <v>8.3330000000000001E-2</v>
      </c>
      <c r="O5" s="323">
        <f>IF(('Rev &amp; Enroll'!$F37*'Rev &amp; Enroll'!$F24)&gt;500000,0.08333,0.25)</f>
        <v>8.3330000000000001E-2</v>
      </c>
      <c r="P5" s="323">
        <f>IF(('Rev &amp; Enroll'!$F37*'Rev &amp; Enroll'!$F24)&gt;500000,0.08333,0)</f>
        <v>8.3330000000000001E-2</v>
      </c>
      <c r="Q5" s="221">
        <f>1-SUM(E5:P5)</f>
        <v>3.9999999999928981E-5</v>
      </c>
      <c r="R5" s="41"/>
      <c r="S5" s="59"/>
      <c r="T5" s="41"/>
      <c r="U5" s="39"/>
      <c r="V5" s="39"/>
      <c r="W5" s="32"/>
    </row>
    <row r="6" spans="1:23" s="37" customFormat="1" ht="11.45" customHeight="1" x14ac:dyDescent="0.2">
      <c r="A6" s="45" t="s">
        <v>58</v>
      </c>
      <c r="C6" s="38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6"/>
      <c r="R6" s="41"/>
      <c r="S6" s="59"/>
      <c r="T6" s="41"/>
      <c r="U6" s="39"/>
      <c r="V6" s="39"/>
      <c r="W6" s="39"/>
    </row>
    <row r="7" spans="1:23" s="37" customFormat="1" ht="12" x14ac:dyDescent="0.2">
      <c r="A7" s="45"/>
      <c r="C7" s="49" t="s">
        <v>171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6"/>
      <c r="R7" s="41"/>
      <c r="S7" s="59"/>
      <c r="T7" s="41"/>
      <c r="U7" s="39"/>
      <c r="V7" s="39"/>
      <c r="W7" s="39"/>
    </row>
    <row r="8" spans="1:23" s="37" customFormat="1" ht="12" x14ac:dyDescent="0.2">
      <c r="A8" s="45"/>
      <c r="C8" s="199">
        <v>1110</v>
      </c>
      <c r="D8" s="37" t="s">
        <v>0</v>
      </c>
      <c r="E8" s="180">
        <f>+'FY23'!E8*(1+MYP!$K$8)</f>
        <v>49291.95174597406</v>
      </c>
      <c r="F8" s="180">
        <f>+'FY23'!F8*(1+MYP!$K$8)</f>
        <v>49291.95174597406</v>
      </c>
      <c r="G8" s="180">
        <f>+'FY23'!G8*(1+MYP!$K$8)</f>
        <v>49291.95174597406</v>
      </c>
      <c r="H8" s="180">
        <f>+'FY23'!H8*(1+MYP!$K$8)</f>
        <v>49291.95174597406</v>
      </c>
      <c r="I8" s="180">
        <f>+'FY23'!I8*(1+MYP!$K$8)</f>
        <v>49291.95174597406</v>
      </c>
      <c r="J8" s="180">
        <f>+'FY23'!J8*(1+MYP!$K$8)</f>
        <v>49291.95174597406</v>
      </c>
      <c r="K8" s="180">
        <f>+'FY23'!K8*(1+MYP!$K$8)</f>
        <v>49291.95174597406</v>
      </c>
      <c r="L8" s="180">
        <f>+'FY23'!L8*(1+MYP!$K$8)</f>
        <v>49291.95174597406</v>
      </c>
      <c r="M8" s="180">
        <f>+'FY23'!M8*(1+MYP!$K$8)</f>
        <v>49291.95174597406</v>
      </c>
      <c r="N8" s="180">
        <f>+'FY23'!N8*(1+MYP!$K$8)</f>
        <v>49291.95174597406</v>
      </c>
      <c r="O8" s="180">
        <f>+'FY23'!O8*(1+MYP!$K$8)</f>
        <v>49291.95174597406</v>
      </c>
      <c r="P8" s="180">
        <f>+'FY23'!P8*(1+MYP!$K$8)</f>
        <v>49289.980067904224</v>
      </c>
      <c r="Q8" s="185"/>
      <c r="R8" s="186"/>
      <c r="S8" s="187">
        <f>SUM(E8:Q8)</f>
        <v>591501.44927361899</v>
      </c>
      <c r="T8" s="186"/>
      <c r="U8" s="180">
        <f>'FY23'!S8</f>
        <v>557238.95856063906</v>
      </c>
      <c r="V8" s="180">
        <f t="shared" ref="V8:V20" si="1">S8-U8</f>
        <v>34262.490712979925</v>
      </c>
      <c r="W8" s="39"/>
    </row>
    <row r="9" spans="1:23" s="37" customFormat="1" ht="12" x14ac:dyDescent="0.2">
      <c r="A9" s="45"/>
      <c r="C9" s="199">
        <v>1120</v>
      </c>
      <c r="D9" s="37" t="s">
        <v>1</v>
      </c>
      <c r="E9" s="362">
        <f>+'FY23'!E9*(1+MYP!$K$8)</f>
        <v>54146.46214519877</v>
      </c>
      <c r="F9" s="362">
        <f>+'FY23'!F9*(1+MYP!$K$8)</f>
        <v>54146.46214519877</v>
      </c>
      <c r="G9" s="362">
        <f>+'FY23'!G9*(1+MYP!$K$8)</f>
        <v>54146.46214519877</v>
      </c>
      <c r="H9" s="362">
        <f>+'FY23'!H9*(1+MYP!$K$8)</f>
        <v>54146.46214519877</v>
      </c>
      <c r="I9" s="362">
        <f>+'FY23'!I9*(1+MYP!$K$8)</f>
        <v>54146.46214519877</v>
      </c>
      <c r="J9" s="362">
        <f>+'FY23'!J9*(1+MYP!$K$8)</f>
        <v>54146.46214519877</v>
      </c>
      <c r="K9" s="362">
        <f>+'FY23'!K9*(1+MYP!$K$8)</f>
        <v>54146.46214519877</v>
      </c>
      <c r="L9" s="362">
        <f>+'FY23'!L9*(1+MYP!$K$8)</f>
        <v>54146.46214519877</v>
      </c>
      <c r="M9" s="362">
        <f>+'FY23'!M9*(1+MYP!$K$8)</f>
        <v>54146.46214519877</v>
      </c>
      <c r="N9" s="362">
        <f>+'FY23'!N9*(1+MYP!$K$8)</f>
        <v>54146.46214519877</v>
      </c>
      <c r="O9" s="362">
        <f>+'FY23'!O9*(1+MYP!$K$8)</f>
        <v>54146.46214519877</v>
      </c>
      <c r="P9" s="362">
        <f>+'FY23'!P9*(1+MYP!$K$8)</f>
        <v>54144.296286712961</v>
      </c>
      <c r="Q9" s="36"/>
      <c r="R9" s="41"/>
      <c r="S9" s="59">
        <f t="shared" ref="S9:S20" si="2">SUM(E9:Q9)</f>
        <v>649755.37988389935</v>
      </c>
      <c r="T9" s="41"/>
      <c r="U9" s="39">
        <f>'FY23'!S9</f>
        <v>612118.55296433799</v>
      </c>
      <c r="V9" s="39">
        <f t="shared" si="1"/>
        <v>37636.826919561368</v>
      </c>
      <c r="W9" s="39"/>
    </row>
    <row r="10" spans="1:23" s="37" customFormat="1" ht="12" x14ac:dyDescent="0.2">
      <c r="A10" s="45"/>
      <c r="C10" s="199">
        <v>1191</v>
      </c>
      <c r="D10" s="37" t="s">
        <v>2</v>
      </c>
      <c r="E10" s="362">
        <f>+'FY23'!E10*(1+MYP!$K$8)</f>
        <v>186.71193843171994</v>
      </c>
      <c r="F10" s="362">
        <f>+'FY23'!F10*(1+MYP!$K$8)</f>
        <v>186.71193843171994</v>
      </c>
      <c r="G10" s="362">
        <f>+'FY23'!G10*(1+MYP!$K$8)</f>
        <v>186.71193843171994</v>
      </c>
      <c r="H10" s="362">
        <f>+'FY23'!H10*(1+MYP!$K$8)</f>
        <v>186.71193843171994</v>
      </c>
      <c r="I10" s="362">
        <f>+'FY23'!I10*(1+MYP!$K$8)</f>
        <v>186.71193843171994</v>
      </c>
      <c r="J10" s="362">
        <f>+'FY23'!J10*(1+MYP!$K$8)</f>
        <v>186.71193843171994</v>
      </c>
      <c r="K10" s="362">
        <f>+'FY23'!K10*(1+MYP!$K$8)</f>
        <v>186.71193843171994</v>
      </c>
      <c r="L10" s="362">
        <f>+'FY23'!L10*(1+MYP!$K$8)</f>
        <v>186.71193843171994</v>
      </c>
      <c r="M10" s="362">
        <f>+'FY23'!M10*(1+MYP!$K$8)</f>
        <v>186.71193843171994</v>
      </c>
      <c r="N10" s="362">
        <f>+'FY23'!N10*(1+MYP!$K$8)</f>
        <v>186.71193843171994</v>
      </c>
      <c r="O10" s="362">
        <f>+'FY23'!O10*(1+MYP!$K$8)</f>
        <v>186.71193843171994</v>
      </c>
      <c r="P10" s="362">
        <f>+'FY23'!P10*(1+MYP!$K$8)</f>
        <v>186.70446995418268</v>
      </c>
      <c r="Q10" s="36"/>
      <c r="R10" s="41"/>
      <c r="S10" s="59">
        <f t="shared" si="2"/>
        <v>2240.5357927031023</v>
      </c>
      <c r="T10" s="41"/>
      <c r="U10" s="39">
        <f>'FY23'!S10</f>
        <v>2110.7536309115117</v>
      </c>
      <c r="V10" s="39">
        <f t="shared" si="1"/>
        <v>129.78216179159062</v>
      </c>
      <c r="W10" s="39"/>
    </row>
    <row r="11" spans="1:23" s="37" customFormat="1" ht="12" x14ac:dyDescent="0.2">
      <c r="A11" s="45"/>
      <c r="C11" s="199">
        <v>1192</v>
      </c>
      <c r="D11" s="37" t="s">
        <v>3</v>
      </c>
      <c r="E11" s="362">
        <f>+'FY23'!E11*(1+MYP!$K$8)</f>
        <v>5788.070091383318</v>
      </c>
      <c r="F11" s="362">
        <f>+'FY23'!F11*(1+MYP!$K$8)</f>
        <v>5788.070091383318</v>
      </c>
      <c r="G11" s="362">
        <f>+'FY23'!G11*(1+MYP!$K$8)</f>
        <v>5788.070091383318</v>
      </c>
      <c r="H11" s="362">
        <f>+'FY23'!H11*(1+MYP!$K$8)</f>
        <v>5788.070091383318</v>
      </c>
      <c r="I11" s="362">
        <f>+'FY23'!I11*(1+MYP!$K$8)</f>
        <v>5788.070091383318</v>
      </c>
      <c r="J11" s="362">
        <f>+'FY23'!J11*(1+MYP!$K$8)</f>
        <v>5788.070091383318</v>
      </c>
      <c r="K11" s="362">
        <f>+'FY23'!K11*(1+MYP!$K$8)</f>
        <v>5788.070091383318</v>
      </c>
      <c r="L11" s="362">
        <f>+'FY23'!L11*(1+MYP!$K$8)</f>
        <v>5788.070091383318</v>
      </c>
      <c r="M11" s="362">
        <f>+'FY23'!M11*(1+MYP!$K$8)</f>
        <v>5788.070091383318</v>
      </c>
      <c r="N11" s="362">
        <f>+'FY23'!N11*(1+MYP!$K$8)</f>
        <v>5788.070091383318</v>
      </c>
      <c r="O11" s="362">
        <f>+'FY23'!O11*(1+MYP!$K$8)</f>
        <v>5788.070091383318</v>
      </c>
      <c r="P11" s="362">
        <f>+'FY23'!P11*(1+MYP!$K$8)</f>
        <v>5787.8385685796611</v>
      </c>
      <c r="Q11" s="98"/>
      <c r="R11" s="41"/>
      <c r="S11" s="59">
        <f t="shared" si="2"/>
        <v>69456.609573796173</v>
      </c>
      <c r="T11" s="41"/>
      <c r="U11" s="39">
        <f>'FY23'!S11</f>
        <v>65433.362558256849</v>
      </c>
      <c r="V11" s="39">
        <f t="shared" si="1"/>
        <v>4023.2470155393239</v>
      </c>
      <c r="W11" s="39"/>
    </row>
    <row r="12" spans="1:23" s="37" customFormat="1" ht="12" x14ac:dyDescent="0.2">
      <c r="A12" s="45"/>
      <c r="C12" s="199">
        <v>3110</v>
      </c>
      <c r="D12" s="37" t="s">
        <v>73</v>
      </c>
      <c r="E12" s="362">
        <f>+'FY23'!E12*(1+MYP!$K$8)</f>
        <v>77298.742510732045</v>
      </c>
      <c r="F12" s="362">
        <f>+'FY23'!F12*(1+MYP!$K$8)</f>
        <v>77298.742510732045</v>
      </c>
      <c r="G12" s="362">
        <f>+'FY23'!G12*(1+MYP!$K$8)</f>
        <v>77298.742510732045</v>
      </c>
      <c r="H12" s="362">
        <f>+'FY23'!H12*(1+MYP!$K$8)</f>
        <v>77298.742510732045</v>
      </c>
      <c r="I12" s="362">
        <f>+'FY23'!I12*(1+MYP!$K$8)</f>
        <v>77298.742510732045</v>
      </c>
      <c r="J12" s="362">
        <f>+'FY23'!J12*(1+MYP!$K$8)</f>
        <v>77298.742510732045</v>
      </c>
      <c r="K12" s="362">
        <f>+'FY23'!K12*(1+MYP!$K$8)</f>
        <v>77298.742510732045</v>
      </c>
      <c r="L12" s="362">
        <f>+'FY23'!L12*(1+MYP!$K$8)</f>
        <v>77298.742510732045</v>
      </c>
      <c r="M12" s="362">
        <f>+'FY23'!M12*(1+MYP!$K$8)</f>
        <v>77298.742510732045</v>
      </c>
      <c r="N12" s="362">
        <f>+'FY23'!N12*(1+MYP!$K$8)</f>
        <v>77298.742510732045</v>
      </c>
      <c r="O12" s="362">
        <f>+'FY23'!O12*(1+MYP!$K$8)</f>
        <v>77298.742510732045</v>
      </c>
      <c r="P12" s="362">
        <f>+'FY23'!P12*(1+MYP!$K$8)</f>
        <v>77295.650561031609</v>
      </c>
      <c r="Q12" s="98"/>
      <c r="R12" s="41"/>
      <c r="S12" s="59">
        <f t="shared" si="2"/>
        <v>927581.8181790841</v>
      </c>
      <c r="T12" s="41"/>
      <c r="U12" s="39">
        <f>'FY23'!S12</f>
        <v>873852.00319736556</v>
      </c>
      <c r="V12" s="39">
        <f t="shared" si="1"/>
        <v>53729.814981718548</v>
      </c>
      <c r="W12" s="39"/>
    </row>
    <row r="13" spans="1:23" s="37" customFormat="1" ht="12" x14ac:dyDescent="0.2">
      <c r="A13" s="45"/>
      <c r="C13" s="38"/>
      <c r="E13" s="50">
        <f>SUBTOTAL(9,E8:E12)</f>
        <v>186711.9384317199</v>
      </c>
      <c r="F13" s="50">
        <f t="shared" ref="F13:S13" si="3">SUBTOTAL(9,F8:F12)</f>
        <v>186711.9384317199</v>
      </c>
      <c r="G13" s="50">
        <f t="shared" si="3"/>
        <v>186711.9384317199</v>
      </c>
      <c r="H13" s="50">
        <f t="shared" si="3"/>
        <v>186711.9384317199</v>
      </c>
      <c r="I13" s="50">
        <f t="shared" si="3"/>
        <v>186711.9384317199</v>
      </c>
      <c r="J13" s="50">
        <f t="shared" si="3"/>
        <v>186711.9384317199</v>
      </c>
      <c r="K13" s="50">
        <f t="shared" si="3"/>
        <v>186711.9384317199</v>
      </c>
      <c r="L13" s="50">
        <f t="shared" si="3"/>
        <v>186711.9384317199</v>
      </c>
      <c r="M13" s="50">
        <f t="shared" si="3"/>
        <v>186711.9384317199</v>
      </c>
      <c r="N13" s="50">
        <f t="shared" si="3"/>
        <v>186711.9384317199</v>
      </c>
      <c r="O13" s="50">
        <f t="shared" si="3"/>
        <v>186711.9384317199</v>
      </c>
      <c r="P13" s="50">
        <f t="shared" si="3"/>
        <v>186704.46995418263</v>
      </c>
      <c r="Q13" s="99"/>
      <c r="R13" s="41"/>
      <c r="S13" s="61">
        <f t="shared" si="3"/>
        <v>2240535.7927031014</v>
      </c>
      <c r="T13" s="41"/>
      <c r="U13" s="50">
        <f t="shared" ref="U13" si="4">SUBTOTAL(9,U8:U12)</f>
        <v>2110753.6309115109</v>
      </c>
      <c r="V13" s="50">
        <f t="shared" ref="V13" si="5">SUBTOTAL(9,V8:V12)</f>
        <v>129782.16179159076</v>
      </c>
      <c r="W13" s="39"/>
    </row>
    <row r="14" spans="1:23" s="37" customFormat="1" ht="12" x14ac:dyDescent="0.2">
      <c r="A14" s="45"/>
      <c r="C14" s="49" t="s">
        <v>170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98"/>
      <c r="R14" s="41"/>
      <c r="S14" s="59"/>
      <c r="T14" s="41"/>
      <c r="U14" s="39"/>
      <c r="V14" s="39"/>
      <c r="W14" s="39"/>
    </row>
    <row r="15" spans="1:23" s="37" customFormat="1" ht="12" x14ac:dyDescent="0.2">
      <c r="A15" s="45"/>
      <c r="C15" s="199">
        <v>3115</v>
      </c>
      <c r="D15" s="37" t="s">
        <v>5</v>
      </c>
      <c r="E15" s="362">
        <f>+'FY23'!E15*(1+MYP!$K$8)</f>
        <v>0</v>
      </c>
      <c r="F15" s="362">
        <f>+'FY23'!F15*(1+MYP!$K$8)</f>
        <v>0</v>
      </c>
      <c r="G15" s="362">
        <f>+'FY23'!G15*(1+MYP!$K$8)</f>
        <v>0</v>
      </c>
      <c r="H15" s="362">
        <f>+'FY23'!H15*(1+MYP!$K$8)</f>
        <v>0</v>
      </c>
      <c r="I15" s="362">
        <f>+'FY23'!I15*(1+MYP!$K$8)</f>
        <v>0</v>
      </c>
      <c r="J15" s="362">
        <f>+'FY23'!J15*(1+MYP!$K$8)</f>
        <v>0</v>
      </c>
      <c r="K15" s="362">
        <f>+'FY23'!K15*(1+MYP!$K$8)</f>
        <v>0</v>
      </c>
      <c r="L15" s="362">
        <f>+'FY23'!L15*(1+MYP!$K$8)</f>
        <v>0</v>
      </c>
      <c r="M15" s="362">
        <f>+'FY23'!M15*(1+MYP!$K$8)</f>
        <v>0</v>
      </c>
      <c r="N15" s="362">
        <f>+'FY23'!N15*(1+MYP!$K$8)</f>
        <v>0</v>
      </c>
      <c r="O15" s="362">
        <f>+'FY23'!O15*(1+MYP!$K$8)</f>
        <v>0</v>
      </c>
      <c r="P15" s="362">
        <f>+'FY23'!P15*(1+MYP!$K$8)</f>
        <v>0</v>
      </c>
      <c r="Q15" s="100"/>
      <c r="R15" s="41"/>
      <c r="S15" s="59">
        <f t="shared" si="2"/>
        <v>0</v>
      </c>
      <c r="T15" s="41"/>
      <c r="U15" s="39">
        <f>'FY23'!S15</f>
        <v>0</v>
      </c>
      <c r="V15" s="39">
        <f t="shared" si="1"/>
        <v>0</v>
      </c>
      <c r="W15" s="39"/>
    </row>
    <row r="16" spans="1:23" s="37" customFormat="1" ht="12" x14ac:dyDescent="0.2">
      <c r="A16" s="45"/>
      <c r="C16" s="199">
        <v>3200</v>
      </c>
      <c r="D16" s="37" t="s">
        <v>6</v>
      </c>
      <c r="E16" s="362">
        <f>+'FY23'!E16*(1+MYP!$K$8)</f>
        <v>0</v>
      </c>
      <c r="F16" s="362">
        <f>+'FY23'!F16*(1+MYP!$K$8)</f>
        <v>0</v>
      </c>
      <c r="G16" s="362">
        <f>+'FY23'!G16*(1+MYP!$K$8)</f>
        <v>0</v>
      </c>
      <c r="H16" s="362">
        <f>+'FY23'!H16*(1+MYP!$K$8)</f>
        <v>0</v>
      </c>
      <c r="I16" s="362">
        <f>+'FY23'!I16*(1+MYP!$K$8)</f>
        <v>0</v>
      </c>
      <c r="J16" s="362">
        <f>+'FY23'!J16*(1+MYP!$K$8)</f>
        <v>0</v>
      </c>
      <c r="K16" s="362">
        <f>+'FY23'!K16*(1+MYP!$K$8)</f>
        <v>0</v>
      </c>
      <c r="L16" s="362">
        <f>+'FY23'!L16*(1+MYP!$K$8)</f>
        <v>0</v>
      </c>
      <c r="M16" s="362">
        <f>+'FY23'!M16*(1+MYP!$K$8)</f>
        <v>0</v>
      </c>
      <c r="N16" s="362">
        <f>+'FY23'!N16*(1+MYP!$K$8)</f>
        <v>0</v>
      </c>
      <c r="O16" s="362">
        <f>+'FY23'!O16*(1+MYP!$K$8)</f>
        <v>0</v>
      </c>
      <c r="P16" s="362">
        <f>+'FY23'!P16*(1+MYP!$K$8)</f>
        <v>0</v>
      </c>
      <c r="Q16" s="100"/>
      <c r="R16" s="41"/>
      <c r="S16" s="59">
        <f t="shared" si="2"/>
        <v>0</v>
      </c>
      <c r="T16" s="41"/>
      <c r="U16" s="39">
        <f>'FY23'!S16</f>
        <v>0</v>
      </c>
      <c r="V16" s="39">
        <f t="shared" si="1"/>
        <v>0</v>
      </c>
      <c r="W16" s="39"/>
    </row>
    <row r="17" spans="1:23" s="37" customFormat="1" ht="12" x14ac:dyDescent="0.2">
      <c r="A17" s="45"/>
      <c r="C17" s="38"/>
      <c r="E17" s="50">
        <f>SUBTOTAL(9,E15:E16)</f>
        <v>0</v>
      </c>
      <c r="F17" s="50">
        <f t="shared" ref="F17:V17" si="6">SUBTOTAL(9,F15:F16)</f>
        <v>0</v>
      </c>
      <c r="G17" s="50">
        <f t="shared" si="6"/>
        <v>0</v>
      </c>
      <c r="H17" s="50">
        <f t="shared" si="6"/>
        <v>0</v>
      </c>
      <c r="I17" s="50">
        <f t="shared" si="6"/>
        <v>0</v>
      </c>
      <c r="J17" s="50">
        <f t="shared" si="6"/>
        <v>0</v>
      </c>
      <c r="K17" s="50">
        <f t="shared" si="6"/>
        <v>0</v>
      </c>
      <c r="L17" s="50">
        <f t="shared" si="6"/>
        <v>0</v>
      </c>
      <c r="M17" s="50">
        <f t="shared" si="6"/>
        <v>0</v>
      </c>
      <c r="N17" s="50">
        <f t="shared" si="6"/>
        <v>0</v>
      </c>
      <c r="O17" s="50">
        <f t="shared" si="6"/>
        <v>0</v>
      </c>
      <c r="P17" s="50">
        <f t="shared" si="6"/>
        <v>0</v>
      </c>
      <c r="Q17" s="99"/>
      <c r="R17" s="41"/>
      <c r="S17" s="61">
        <f t="shared" si="6"/>
        <v>0</v>
      </c>
      <c r="T17" s="41"/>
      <c r="U17" s="50">
        <f t="shared" si="6"/>
        <v>0</v>
      </c>
      <c r="V17" s="50">
        <f t="shared" si="6"/>
        <v>0</v>
      </c>
      <c r="W17" s="39"/>
    </row>
    <row r="18" spans="1:23" s="37" customFormat="1" ht="12" x14ac:dyDescent="0.2">
      <c r="A18" s="45"/>
      <c r="C18" s="49" t="s">
        <v>149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100"/>
      <c r="R18" s="41"/>
      <c r="S18" s="59"/>
      <c r="T18" s="41"/>
      <c r="U18" s="39"/>
      <c r="V18" s="39"/>
      <c r="W18" s="39"/>
    </row>
    <row r="19" spans="1:23" s="37" customFormat="1" ht="12" x14ac:dyDescent="0.2">
      <c r="A19" s="45"/>
      <c r="C19" s="199">
        <v>4500</v>
      </c>
      <c r="D19" s="37" t="s">
        <v>6</v>
      </c>
      <c r="E19" s="362">
        <f>+'FY23'!E19*(1+MYP!$K$8)</f>
        <v>0</v>
      </c>
      <c r="F19" s="362">
        <f>+'FY23'!F19*(1+MYP!$K$8)</f>
        <v>0</v>
      </c>
      <c r="G19" s="362">
        <f>+'FY23'!G19*(1+MYP!$K$8)</f>
        <v>0</v>
      </c>
      <c r="H19" s="362">
        <f>+'FY23'!H19*(1+MYP!$K$8)</f>
        <v>0</v>
      </c>
      <c r="I19" s="362">
        <f>+'FY23'!I19*(1+MYP!$K$8)</f>
        <v>0</v>
      </c>
      <c r="J19" s="362">
        <f>+'FY23'!J19*(1+MYP!$K$8)</f>
        <v>0</v>
      </c>
      <c r="K19" s="362">
        <f>+'FY23'!K19*(1+MYP!$K$8)</f>
        <v>10226.122820314422</v>
      </c>
      <c r="L19" s="362">
        <f>+'FY23'!L19*(1+MYP!$K$8)</f>
        <v>0</v>
      </c>
      <c r="M19" s="362">
        <f>+'FY23'!M19*(1+MYP!$K$8)</f>
        <v>0</v>
      </c>
      <c r="N19" s="362">
        <f>+'FY23'!N19*(1+MYP!$K$8)</f>
        <v>0</v>
      </c>
      <c r="O19" s="362">
        <f>+'FY23'!O19*(1+MYP!$K$8)</f>
        <v>0</v>
      </c>
      <c r="P19" s="362">
        <f>+'FY23'!P19*(1+MYP!$K$8)</f>
        <v>12782.653525393029</v>
      </c>
      <c r="Q19" s="100"/>
      <c r="R19" s="41"/>
      <c r="S19" s="59">
        <f t="shared" si="2"/>
        <v>23008.776345707451</v>
      </c>
      <c r="T19" s="41"/>
      <c r="U19" s="39">
        <f>'FY23'!S19</f>
        <v>21676.001951274542</v>
      </c>
      <c r="V19" s="39">
        <f t="shared" si="1"/>
        <v>1332.7743944329086</v>
      </c>
      <c r="W19" s="39"/>
    </row>
    <row r="20" spans="1:23" s="37" customFormat="1" ht="12" x14ac:dyDescent="0.2">
      <c r="A20" s="45"/>
      <c r="C20" s="199">
        <v>4571</v>
      </c>
      <c r="D20" s="37" t="s">
        <v>7</v>
      </c>
      <c r="E20" s="362">
        <f>+'FY23'!E20*(1+MYP!$K$8)</f>
        <v>0</v>
      </c>
      <c r="F20" s="362">
        <f>+'FY23'!F20*(1+MYP!$K$8)</f>
        <v>0</v>
      </c>
      <c r="G20" s="362">
        <f>+'FY23'!G20*(1+MYP!$K$8)</f>
        <v>0</v>
      </c>
      <c r="H20" s="362">
        <f>+'FY23'!H20*(1+MYP!$K$8)</f>
        <v>0</v>
      </c>
      <c r="I20" s="362">
        <f>+'FY23'!I20*(1+MYP!$K$8)</f>
        <v>0</v>
      </c>
      <c r="J20" s="362">
        <f>+'FY23'!J20*(1+MYP!$K$8)</f>
        <v>2487.5025104146007</v>
      </c>
      <c r="K20" s="362">
        <f>+'FY23'!K20*(1+MYP!$K$8)</f>
        <v>0</v>
      </c>
      <c r="L20" s="362">
        <f>+'FY23'!L20*(1+MYP!$K$8)</f>
        <v>0</v>
      </c>
      <c r="M20" s="362">
        <f>+'FY23'!M20*(1+MYP!$K$8)</f>
        <v>0</v>
      </c>
      <c r="N20" s="362">
        <f>+'FY23'!N20*(1+MYP!$K$8)</f>
        <v>0</v>
      </c>
      <c r="O20" s="362">
        <f>+'FY23'!O20*(1+MYP!$K$8)</f>
        <v>3731.253765621901</v>
      </c>
      <c r="P20" s="362">
        <f>+'FY23'!P20*(1+MYP!$K$8)</f>
        <v>0</v>
      </c>
      <c r="Q20" s="100"/>
      <c r="R20" s="41"/>
      <c r="S20" s="62">
        <f t="shared" si="2"/>
        <v>6218.7562760365017</v>
      </c>
      <c r="T20" s="41"/>
      <c r="U20" s="41">
        <f>'FY23'!S20</f>
        <v>5858.5372445943249</v>
      </c>
      <c r="V20" s="41">
        <f t="shared" si="1"/>
        <v>360.21903144217686</v>
      </c>
      <c r="W20" s="39"/>
    </row>
    <row r="21" spans="1:23" s="37" customFormat="1" ht="12" x14ac:dyDescent="0.2">
      <c r="A21" s="45"/>
      <c r="C21" s="38">
        <v>4703</v>
      </c>
      <c r="D21" s="37" t="s">
        <v>185</v>
      </c>
      <c r="E21" s="362">
        <f>+'FY23'!E21*(1+MYP!$K$8)</f>
        <v>0</v>
      </c>
      <c r="F21" s="362">
        <f>+'FY23'!F21*(1+MYP!$K$8)</f>
        <v>0</v>
      </c>
      <c r="G21" s="362">
        <f>+'FY23'!G21*(1+MYP!$K$8)</f>
        <v>0</v>
      </c>
      <c r="H21" s="362">
        <f>+'FY23'!H21*(1+MYP!$K$8)</f>
        <v>0</v>
      </c>
      <c r="I21" s="362">
        <f>+'FY23'!I21*(1+MYP!$K$8)</f>
        <v>0</v>
      </c>
      <c r="J21" s="362">
        <f>+'FY23'!J21*(1+MYP!$K$8)</f>
        <v>7299.4144291484672</v>
      </c>
      <c r="K21" s="362">
        <f>+'FY23'!K21*(1+MYP!$K$8)</f>
        <v>0</v>
      </c>
      <c r="L21" s="362">
        <f>+'FY23'!L21*(1+MYP!$K$8)</f>
        <v>0</v>
      </c>
      <c r="M21" s="362">
        <f>+'FY23'!M21*(1+MYP!$K$8)</f>
        <v>0</v>
      </c>
      <c r="N21" s="362">
        <f>+'FY23'!N21*(1+MYP!$K$8)</f>
        <v>0</v>
      </c>
      <c r="O21" s="362">
        <f>+'FY23'!O21*(1+MYP!$K$8)</f>
        <v>7299.4144291484672</v>
      </c>
      <c r="P21" s="362">
        <f>+'FY23'!P21*(1+MYP!$K$8)</f>
        <v>0</v>
      </c>
      <c r="Q21" s="100"/>
      <c r="R21" s="41"/>
      <c r="S21" s="62">
        <f t="shared" ref="S21" si="7">SUM(E21:Q21)</f>
        <v>14598.828858296934</v>
      </c>
      <c r="T21" s="41"/>
      <c r="U21" s="41">
        <f>'FY23'!S21</f>
        <v>13753.197391472917</v>
      </c>
      <c r="V21" s="41">
        <f t="shared" ref="V21" si="8">S21-U21</f>
        <v>845.63146682401748</v>
      </c>
      <c r="W21" s="39"/>
    </row>
    <row r="22" spans="1:23" s="37" customFormat="1" ht="12" x14ac:dyDescent="0.2">
      <c r="A22" s="45"/>
      <c r="C22" s="38"/>
      <c r="E22" s="50">
        <f>SUBTOTAL(9,E19:E21)</f>
        <v>0</v>
      </c>
      <c r="F22" s="50">
        <f t="shared" ref="F22:P22" si="9">SUBTOTAL(9,F19:F21)</f>
        <v>0</v>
      </c>
      <c r="G22" s="50">
        <f t="shared" si="9"/>
        <v>0</v>
      </c>
      <c r="H22" s="50">
        <f t="shared" si="9"/>
        <v>0</v>
      </c>
      <c r="I22" s="50">
        <f t="shared" si="9"/>
        <v>0</v>
      </c>
      <c r="J22" s="50">
        <f t="shared" si="9"/>
        <v>9786.916939563067</v>
      </c>
      <c r="K22" s="50">
        <f t="shared" si="9"/>
        <v>10226.122820314422</v>
      </c>
      <c r="L22" s="50">
        <f t="shared" si="9"/>
        <v>0</v>
      </c>
      <c r="M22" s="50">
        <f t="shared" si="9"/>
        <v>0</v>
      </c>
      <c r="N22" s="50">
        <f t="shared" si="9"/>
        <v>0</v>
      </c>
      <c r="O22" s="50">
        <f t="shared" si="9"/>
        <v>11030.668194770369</v>
      </c>
      <c r="P22" s="50">
        <f t="shared" si="9"/>
        <v>12782.653525393029</v>
      </c>
      <c r="Q22" s="99"/>
      <c r="R22" s="41"/>
      <c r="S22" s="61">
        <f>SUBTOTAL(9,S19:S21)</f>
        <v>43826.361480040883</v>
      </c>
      <c r="T22" s="41"/>
      <c r="U22" s="50">
        <f>SUBTOTAL(9,U19:U21)</f>
        <v>41287.736587341788</v>
      </c>
      <c r="V22" s="50">
        <f>SUBTOTAL(9,V19:V21)</f>
        <v>2538.6248926991029</v>
      </c>
      <c r="W22" s="39"/>
    </row>
    <row r="23" spans="1:23" s="37" customFormat="1" ht="12" x14ac:dyDescent="0.2">
      <c r="A23" s="45"/>
      <c r="C23" s="49" t="s">
        <v>150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100"/>
      <c r="R23" s="41"/>
      <c r="S23" s="62"/>
      <c r="T23" s="41"/>
      <c r="U23" s="41"/>
      <c r="V23" s="41"/>
      <c r="W23" s="39"/>
    </row>
    <row r="24" spans="1:23" s="37" customFormat="1" ht="12" x14ac:dyDescent="0.2">
      <c r="A24" s="45"/>
      <c r="C24" s="199">
        <v>1790</v>
      </c>
      <c r="D24" s="37" t="s">
        <v>4</v>
      </c>
      <c r="E24" s="362">
        <f>+'FY23'!E24*(1+MYP!$K$8)</f>
        <v>0</v>
      </c>
      <c r="F24" s="362">
        <f>+'FY23'!F24*(1+MYP!$K$8)</f>
        <v>0</v>
      </c>
      <c r="G24" s="362">
        <f>+'FY23'!G24*(1+MYP!$K$8)</f>
        <v>0</v>
      </c>
      <c r="H24" s="362">
        <f>+'FY23'!H24*(1+MYP!$K$8)</f>
        <v>111489.86251678241</v>
      </c>
      <c r="I24" s="362">
        <f>+'FY23'!I24*(1+MYP!$K$8)</f>
        <v>0</v>
      </c>
      <c r="J24" s="362">
        <f>+'FY23'!J24*(1+MYP!$K$8)</f>
        <v>0</v>
      </c>
      <c r="K24" s="362">
        <f>+'FY23'!K24*(1+MYP!$K$8)</f>
        <v>111489.86251678241</v>
      </c>
      <c r="L24" s="362">
        <f>+'FY23'!L24*(1+MYP!$K$8)</f>
        <v>0</v>
      </c>
      <c r="M24" s="362">
        <f>+'FY23'!M24*(1+MYP!$K$8)</f>
        <v>0</v>
      </c>
      <c r="N24" s="362">
        <f>+'FY23'!N24*(1+MYP!$K$8)</f>
        <v>111489.86251678241</v>
      </c>
      <c r="O24" s="362">
        <f>+'FY23'!O24*(1+MYP!$K$8)</f>
        <v>0</v>
      </c>
      <c r="P24" s="362">
        <f>+'FY23'!P24*(1+MYP!$K$8)</f>
        <v>111489.86251678241</v>
      </c>
      <c r="Q24" s="100"/>
      <c r="R24" s="41"/>
      <c r="S24" s="59">
        <f>SUM(E24:Q24)</f>
        <v>445959.45006712963</v>
      </c>
      <c r="T24" s="41"/>
      <c r="U24" s="39">
        <f>'FY23'!S24</f>
        <v>420127.42288434826</v>
      </c>
      <c r="V24" s="39">
        <f>S24-U24</f>
        <v>25832.02718278137</v>
      </c>
      <c r="W24" s="39"/>
    </row>
    <row r="25" spans="1:23" s="37" customFormat="1" ht="12" x14ac:dyDescent="0.2">
      <c r="A25" s="45"/>
      <c r="C25" s="38"/>
      <c r="E25" s="50">
        <f>SUBTOTAL(9,E24)</f>
        <v>0</v>
      </c>
      <c r="F25" s="50">
        <f t="shared" ref="F25:S25" si="10">SUBTOTAL(9,F24)</f>
        <v>0</v>
      </c>
      <c r="G25" s="50">
        <f t="shared" si="10"/>
        <v>0</v>
      </c>
      <c r="H25" s="50">
        <f t="shared" si="10"/>
        <v>111489.86251678241</v>
      </c>
      <c r="I25" s="50">
        <f t="shared" si="10"/>
        <v>0</v>
      </c>
      <c r="J25" s="50">
        <f t="shared" si="10"/>
        <v>0</v>
      </c>
      <c r="K25" s="50">
        <f t="shared" si="10"/>
        <v>111489.86251678241</v>
      </c>
      <c r="L25" s="50">
        <f t="shared" si="10"/>
        <v>0</v>
      </c>
      <c r="M25" s="50">
        <f t="shared" si="10"/>
        <v>0</v>
      </c>
      <c r="N25" s="50">
        <f t="shared" si="10"/>
        <v>111489.86251678241</v>
      </c>
      <c r="O25" s="50">
        <f t="shared" si="10"/>
        <v>0</v>
      </c>
      <c r="P25" s="50">
        <f t="shared" si="10"/>
        <v>111489.86251678241</v>
      </c>
      <c r="Q25" s="99"/>
      <c r="R25" s="41"/>
      <c r="S25" s="61">
        <f t="shared" si="10"/>
        <v>445959.45006712963</v>
      </c>
      <c r="T25" s="41"/>
      <c r="U25" s="50">
        <f t="shared" ref="U25" si="11">SUBTOTAL(9,U24)</f>
        <v>420127.42288434826</v>
      </c>
      <c r="V25" s="50">
        <f t="shared" ref="V25" si="12">SUBTOTAL(9,V24)</f>
        <v>25832.02718278137</v>
      </c>
      <c r="W25" s="39"/>
    </row>
    <row r="26" spans="1:23" s="37" customFormat="1" ht="9" customHeight="1" x14ac:dyDescent="0.2">
      <c r="A26" s="45"/>
      <c r="C26" s="38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100"/>
      <c r="R26" s="41"/>
      <c r="S26" s="59"/>
      <c r="T26" s="41"/>
      <c r="U26" s="39"/>
      <c r="V26" s="39"/>
      <c r="W26" s="39"/>
    </row>
    <row r="27" spans="1:23" s="45" customFormat="1" ht="12" x14ac:dyDescent="0.2">
      <c r="A27" s="45" t="s">
        <v>105</v>
      </c>
      <c r="C27" s="46"/>
      <c r="E27" s="43">
        <f t="shared" ref="E27:P27" si="13">SUBTOTAL(9,E8:E26)</f>
        <v>186711.9384317199</v>
      </c>
      <c r="F27" s="43">
        <f t="shared" si="13"/>
        <v>186711.9384317199</v>
      </c>
      <c r="G27" s="43">
        <f t="shared" si="13"/>
        <v>186711.9384317199</v>
      </c>
      <c r="H27" s="43">
        <f t="shared" si="13"/>
        <v>298201.80094850232</v>
      </c>
      <c r="I27" s="43">
        <f t="shared" si="13"/>
        <v>186711.9384317199</v>
      </c>
      <c r="J27" s="43">
        <f t="shared" si="13"/>
        <v>196498.85537128296</v>
      </c>
      <c r="K27" s="43">
        <f t="shared" si="13"/>
        <v>308427.92376881675</v>
      </c>
      <c r="L27" s="43">
        <f t="shared" si="13"/>
        <v>186711.9384317199</v>
      </c>
      <c r="M27" s="43">
        <f t="shared" si="13"/>
        <v>186711.9384317199</v>
      </c>
      <c r="N27" s="43">
        <f t="shared" si="13"/>
        <v>298201.80094850232</v>
      </c>
      <c r="O27" s="43">
        <f t="shared" si="13"/>
        <v>197742.60662649025</v>
      </c>
      <c r="P27" s="43">
        <f t="shared" si="13"/>
        <v>310976.98599635804</v>
      </c>
      <c r="Q27" s="196"/>
      <c r="R27" s="48"/>
      <c r="S27" s="60">
        <f>SUBTOTAL(9,S8:S26)</f>
        <v>2730321.6042502718</v>
      </c>
      <c r="T27" s="48"/>
      <c r="U27" s="43">
        <f>SUBTOTAL(9,U8:U26)</f>
        <v>2572168.7903832006</v>
      </c>
      <c r="V27" s="43">
        <f>SUBTOTAL(9,V8:V26)</f>
        <v>158152.81386707124</v>
      </c>
      <c r="W27" s="40"/>
    </row>
    <row r="28" spans="1:23" s="45" customFormat="1" ht="12" x14ac:dyDescent="0.2">
      <c r="C28" s="46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100"/>
      <c r="R28" s="48"/>
      <c r="S28" s="59"/>
      <c r="T28" s="48"/>
      <c r="U28" s="40"/>
      <c r="V28" s="40"/>
      <c r="W28" s="40"/>
    </row>
    <row r="29" spans="1:23" s="37" customFormat="1" ht="12" x14ac:dyDescent="0.2">
      <c r="A29" s="45" t="s">
        <v>59</v>
      </c>
      <c r="C29" s="3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44"/>
      <c r="R29" s="41"/>
      <c r="S29" s="59"/>
      <c r="T29" s="41"/>
      <c r="U29" s="39"/>
      <c r="V29" s="39"/>
      <c r="W29" s="39"/>
    </row>
    <row r="30" spans="1:23" s="37" customFormat="1" ht="12" x14ac:dyDescent="0.2">
      <c r="C30" s="49" t="s">
        <v>8</v>
      </c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44"/>
      <c r="R30" s="41"/>
      <c r="S30" s="59"/>
      <c r="T30" s="41"/>
      <c r="U30" s="39"/>
      <c r="V30" s="39"/>
      <c r="W30" s="39"/>
    </row>
    <row r="31" spans="1:23" s="37" customFormat="1" ht="12" x14ac:dyDescent="0.2">
      <c r="C31" s="199">
        <v>6111</v>
      </c>
      <c r="D31" s="37" t="s">
        <v>191</v>
      </c>
      <c r="E31" s="39">
        <f>+'FY23'!E31*(1+MYP!$K$9)</f>
        <v>0</v>
      </c>
      <c r="F31" s="39">
        <f>+'FY23'!F31*(1+MYP!$K$9)</f>
        <v>0</v>
      </c>
      <c r="G31" s="39">
        <f>+'FY23'!G31*(1+MYP!$K$9)</f>
        <v>0</v>
      </c>
      <c r="H31" s="39">
        <f>+'FY23'!H31*(1+MYP!$K$9)</f>
        <v>0</v>
      </c>
      <c r="I31" s="39">
        <f>+'FY23'!I31*(1+MYP!$K$9)</f>
        <v>0</v>
      </c>
      <c r="J31" s="39">
        <f>+'FY23'!J31*(1+MYP!$K$9)</f>
        <v>0</v>
      </c>
      <c r="K31" s="39">
        <f>+'FY23'!K31*(1+MYP!$K$9)</f>
        <v>0</v>
      </c>
      <c r="L31" s="39">
        <f>+'FY23'!L31*(1+MYP!$K$9)</f>
        <v>0</v>
      </c>
      <c r="M31" s="39">
        <f>+'FY23'!M31*(1+MYP!$K$9)</f>
        <v>0</v>
      </c>
      <c r="N31" s="39">
        <f>+'FY23'!N31*(1+MYP!$K$9)</f>
        <v>0</v>
      </c>
      <c r="O31" s="39">
        <f>+'FY23'!O31*(1+MYP!$K$9)</f>
        <v>0</v>
      </c>
      <c r="P31" s="39">
        <f>+'FY23'!P31*(1+MYP!$K$9)</f>
        <v>0</v>
      </c>
      <c r="Q31" s="100"/>
      <c r="R31" s="41"/>
      <c r="S31" s="59">
        <f t="shared" ref="S31:S40" si="14">SUM(E31:Q31)</f>
        <v>0</v>
      </c>
      <c r="T31" s="41"/>
      <c r="U31" s="39">
        <f>'FY23'!S31</f>
        <v>0</v>
      </c>
      <c r="V31" s="39">
        <f>U31-S31</f>
        <v>0</v>
      </c>
      <c r="W31" s="39"/>
    </row>
    <row r="32" spans="1:23" s="37" customFormat="1" ht="12" x14ac:dyDescent="0.2">
      <c r="C32" s="199">
        <v>6114</v>
      </c>
      <c r="D32" s="37" t="s">
        <v>192</v>
      </c>
      <c r="E32" s="39">
        <f>+'FY23'!E32*(1+MYP!$K$9)</f>
        <v>43582.724821800002</v>
      </c>
      <c r="F32" s="39">
        <f>+'FY23'!F32*(1+MYP!$K$9)</f>
        <v>43582.724821800002</v>
      </c>
      <c r="G32" s="39">
        <f>+'FY23'!G32*(1+MYP!$K$9)</f>
        <v>43582.724821800002</v>
      </c>
      <c r="H32" s="39">
        <f>+'FY23'!H32*(1+MYP!$K$9)</f>
        <v>43582.724821800002</v>
      </c>
      <c r="I32" s="39">
        <f>+'FY23'!I32*(1+MYP!$K$9)</f>
        <v>43582.724821800002</v>
      </c>
      <c r="J32" s="39">
        <f>+'FY23'!J32*(1+MYP!$K$9)</f>
        <v>43582.724821800002</v>
      </c>
      <c r="K32" s="39">
        <f>+'FY23'!K32*(1+MYP!$K$9)</f>
        <v>43582.724821800002</v>
      </c>
      <c r="L32" s="39">
        <f>+'FY23'!L32*(1+MYP!$K$9)</f>
        <v>43582.724821800002</v>
      </c>
      <c r="M32" s="39">
        <f>+'FY23'!M32*(1+MYP!$K$9)</f>
        <v>43582.724821800002</v>
      </c>
      <c r="N32" s="39">
        <f>+'FY23'!N32*(1+MYP!$K$9)</f>
        <v>43582.724821800002</v>
      </c>
      <c r="O32" s="39">
        <f>+'FY23'!O32*(1+MYP!$K$9)</f>
        <v>43582.724821800002</v>
      </c>
      <c r="P32" s="39">
        <f>+'FY23'!P32*(1+MYP!$K$9)</f>
        <v>43582.724821800002</v>
      </c>
      <c r="Q32" s="100"/>
      <c r="R32" s="41"/>
      <c r="S32" s="59">
        <f t="shared" si="14"/>
        <v>522992.69786160014</v>
      </c>
      <c r="T32" s="41"/>
      <c r="U32" s="39">
        <f>'FY23'!S32</f>
        <v>512737.93908000016</v>
      </c>
      <c r="V32" s="39">
        <f t="shared" ref="V32:V40" si="15">U32-S32</f>
        <v>-10254.758781599987</v>
      </c>
      <c r="W32" s="39"/>
    </row>
    <row r="33" spans="3:23" s="37" customFormat="1" ht="12" x14ac:dyDescent="0.2">
      <c r="C33" s="199">
        <v>6117</v>
      </c>
      <c r="D33" s="37" t="s">
        <v>228</v>
      </c>
      <c r="E33" s="39">
        <f>+'FY23'!E33*(1+MYP!$K$9)</f>
        <v>55708.498455426008</v>
      </c>
      <c r="F33" s="39">
        <f>+'FY23'!F33*(1+MYP!$K$9)</f>
        <v>58573.760055426006</v>
      </c>
      <c r="G33" s="39">
        <f>+'FY23'!G33*(1+MYP!$K$9)</f>
        <v>55708.498455426008</v>
      </c>
      <c r="H33" s="39">
        <f>+'FY23'!H33*(1+MYP!$K$9)</f>
        <v>58573.760055426006</v>
      </c>
      <c r="I33" s="39">
        <f>+'FY23'!I33*(1+MYP!$K$9)</f>
        <v>55708.498455426008</v>
      </c>
      <c r="J33" s="39">
        <f>+'FY23'!J33*(1+MYP!$K$9)</f>
        <v>55708.498455426008</v>
      </c>
      <c r="K33" s="39">
        <f>+'FY23'!K33*(1+MYP!$K$9)</f>
        <v>58573.760055426006</v>
      </c>
      <c r="L33" s="39">
        <f>+'FY23'!L33*(1+MYP!$K$9)</f>
        <v>55708.498455426008</v>
      </c>
      <c r="M33" s="39">
        <f>+'FY23'!M33*(1+MYP!$K$9)</f>
        <v>55708.498455426008</v>
      </c>
      <c r="N33" s="39">
        <f>+'FY23'!N33*(1+MYP!$K$9)</f>
        <v>58573.760055426006</v>
      </c>
      <c r="O33" s="39">
        <f>+'FY23'!O33*(1+MYP!$K$9)</f>
        <v>58573.760055426006</v>
      </c>
      <c r="P33" s="39">
        <f>+'FY23'!P33*(1+MYP!$K$9)</f>
        <v>55708.498455426008</v>
      </c>
      <c r="Q33" s="100"/>
      <c r="R33" s="41"/>
      <c r="S33" s="59">
        <f t="shared" si="14"/>
        <v>682828.28946511203</v>
      </c>
      <c r="T33" s="41"/>
      <c r="U33" s="39">
        <f>'FY23'!S33</f>
        <v>669439.4994756002</v>
      </c>
      <c r="V33" s="39">
        <f t="shared" si="15"/>
        <v>-13388.789989511832</v>
      </c>
      <c r="W33" s="39"/>
    </row>
    <row r="34" spans="3:23" s="37" customFormat="1" ht="12" x14ac:dyDescent="0.2">
      <c r="C34" s="199">
        <v>6127</v>
      </c>
      <c r="D34" s="37" t="s">
        <v>229</v>
      </c>
      <c r="E34" s="39">
        <f>+'FY23'!E34*(1+MYP!$K$9)</f>
        <v>3127.0262400000001</v>
      </c>
      <c r="F34" s="39">
        <f>+'FY23'!F34*(1+MYP!$K$9)</f>
        <v>3127.0262400000001</v>
      </c>
      <c r="G34" s="39">
        <f>+'FY23'!G34*(1+MYP!$K$9)</f>
        <v>3127.0262400000001</v>
      </c>
      <c r="H34" s="39">
        <f>+'FY23'!H34*(1+MYP!$K$9)</f>
        <v>3127.0262400000001</v>
      </c>
      <c r="I34" s="39">
        <f>+'FY23'!I34*(1+MYP!$K$9)</f>
        <v>3127.0262400000001</v>
      </c>
      <c r="J34" s="39">
        <f>+'FY23'!J34*(1+MYP!$K$9)</f>
        <v>3127.0262400000001</v>
      </c>
      <c r="K34" s="39">
        <f>+'FY23'!K34*(1+MYP!$K$9)</f>
        <v>3127.0262400000001</v>
      </c>
      <c r="L34" s="39">
        <f>+'FY23'!L34*(1+MYP!$K$9)</f>
        <v>3127.0262400000001</v>
      </c>
      <c r="M34" s="39">
        <f>+'FY23'!M34*(1+MYP!$K$9)</f>
        <v>3127.0262400000001</v>
      </c>
      <c r="N34" s="39">
        <f>+'FY23'!N34*(1+MYP!$K$9)</f>
        <v>3127.0262400000001</v>
      </c>
      <c r="O34" s="39">
        <f>+'FY23'!O34*(1+MYP!$K$9)</f>
        <v>3127.0262400000001</v>
      </c>
      <c r="P34" s="39">
        <f>+'FY23'!P34*(1+MYP!$K$9)</f>
        <v>3127.0262400000001</v>
      </c>
      <c r="Q34" s="100"/>
      <c r="R34" s="41"/>
      <c r="S34" s="59">
        <f t="shared" si="14"/>
        <v>37524.314879999998</v>
      </c>
      <c r="T34" s="41"/>
      <c r="U34" s="39">
        <f>'FY23'!S34</f>
        <v>36788.544000000002</v>
      </c>
      <c r="V34" s="39">
        <f t="shared" si="15"/>
        <v>-735.7708799999964</v>
      </c>
      <c r="W34" s="39"/>
    </row>
    <row r="35" spans="3:23" s="37" customFormat="1" ht="12" x14ac:dyDescent="0.2">
      <c r="C35" s="199">
        <v>6151</v>
      </c>
      <c r="D35" s="37" t="s">
        <v>189</v>
      </c>
      <c r="E35" s="39">
        <f>+'FY23'!E35*(1+MYP!$K$9)</f>
        <v>0</v>
      </c>
      <c r="F35" s="39">
        <f>+'FY23'!F35*(1+MYP!$K$9)</f>
        <v>0</v>
      </c>
      <c r="G35" s="39">
        <f>+'FY23'!G35*(1+MYP!$K$9)</f>
        <v>0</v>
      </c>
      <c r="H35" s="39">
        <f>+'FY23'!H35*(1+MYP!$K$9)</f>
        <v>0</v>
      </c>
      <c r="I35" s="39">
        <f>+'FY23'!I35*(1+MYP!$K$9)</f>
        <v>0</v>
      </c>
      <c r="J35" s="39">
        <f>+'FY23'!J35*(1+MYP!$K$9)</f>
        <v>0</v>
      </c>
      <c r="K35" s="39">
        <f>+'FY23'!K35*(1+MYP!$K$9)</f>
        <v>0</v>
      </c>
      <c r="L35" s="39">
        <f>+'FY23'!L35*(1+MYP!$K$9)</f>
        <v>0</v>
      </c>
      <c r="M35" s="39">
        <f>+'FY23'!M35*(1+MYP!$K$9)</f>
        <v>0</v>
      </c>
      <c r="N35" s="39">
        <f>+'FY23'!N35*(1+MYP!$K$9)</f>
        <v>0</v>
      </c>
      <c r="O35" s="39">
        <f>+'FY23'!O35*(1+MYP!$K$9)</f>
        <v>0</v>
      </c>
      <c r="P35" s="39">
        <f>+'FY23'!P35*(1+MYP!$K$9)</f>
        <v>0</v>
      </c>
      <c r="Q35" s="100"/>
      <c r="R35" s="41"/>
      <c r="S35" s="59">
        <f t="shared" si="14"/>
        <v>0</v>
      </c>
      <c r="T35" s="41"/>
      <c r="U35" s="39">
        <f>'FY23'!S35</f>
        <v>0</v>
      </c>
      <c r="V35" s="39">
        <f t="shared" si="15"/>
        <v>0</v>
      </c>
      <c r="W35" s="39"/>
    </row>
    <row r="36" spans="3:23" s="37" customFormat="1" ht="12" x14ac:dyDescent="0.2">
      <c r="C36" s="199">
        <v>6154</v>
      </c>
      <c r="D36" s="37" t="s">
        <v>190</v>
      </c>
      <c r="E36" s="39">
        <f>+'FY23'!E36*(1+MYP!$K$9)</f>
        <v>0</v>
      </c>
      <c r="F36" s="39">
        <f>+'FY23'!F36*(1+MYP!$K$9)</f>
        <v>0</v>
      </c>
      <c r="G36" s="39">
        <f>+'FY23'!G36*(1+MYP!$K$9)</f>
        <v>0</v>
      </c>
      <c r="H36" s="39">
        <f>+'FY23'!H36*(1+MYP!$K$9)</f>
        <v>0</v>
      </c>
      <c r="I36" s="39">
        <f>+'FY23'!I36*(1+MYP!$K$9)</f>
        <v>795.90600000000006</v>
      </c>
      <c r="J36" s="39">
        <f>+'FY23'!J36*(1+MYP!$K$9)</f>
        <v>795.90600000000006</v>
      </c>
      <c r="K36" s="39">
        <f>+'FY23'!K36*(1+MYP!$K$9)</f>
        <v>795.90600000000006</v>
      </c>
      <c r="L36" s="39">
        <f>+'FY23'!L36*(1+MYP!$K$9)</f>
        <v>795.90600000000006</v>
      </c>
      <c r="M36" s="39">
        <f>+'FY23'!M36*(1+MYP!$K$9)</f>
        <v>0</v>
      </c>
      <c r="N36" s="39">
        <f>+'FY23'!N36*(1+MYP!$K$9)</f>
        <v>0</v>
      </c>
      <c r="O36" s="39">
        <f>+'FY23'!O36*(1+MYP!$K$9)</f>
        <v>795.90600000000006</v>
      </c>
      <c r="P36" s="39">
        <f>+'FY23'!P36*(1+MYP!$K$9)</f>
        <v>25999.596000000001</v>
      </c>
      <c r="Q36" s="100"/>
      <c r="R36" s="41"/>
      <c r="S36" s="59">
        <f t="shared" si="14"/>
        <v>29979.126</v>
      </c>
      <c r="T36" s="41"/>
      <c r="U36" s="39">
        <f>'FY23'!S36</f>
        <v>29391.3</v>
      </c>
      <c r="V36" s="39">
        <f t="shared" si="15"/>
        <v>-587.82600000000093</v>
      </c>
      <c r="W36" s="39"/>
    </row>
    <row r="37" spans="3:23" s="37" customFormat="1" ht="12" x14ac:dyDescent="0.2">
      <c r="C37" s="199">
        <v>6157</v>
      </c>
      <c r="D37" s="37" t="s">
        <v>230</v>
      </c>
      <c r="E37" s="39">
        <f>+'FY23'!E37*(1+MYP!$K$9)</f>
        <v>0</v>
      </c>
      <c r="F37" s="39">
        <f>+'FY23'!F37*(1+MYP!$K$9)</f>
        <v>1782.8294400000002</v>
      </c>
      <c r="G37" s="39">
        <f>+'FY23'!G37*(1+MYP!$K$9)</f>
        <v>4622.6220480000002</v>
      </c>
      <c r="H37" s="39">
        <f>+'FY23'!H37*(1+MYP!$K$9)</f>
        <v>4718.130768</v>
      </c>
      <c r="I37" s="39">
        <f>+'FY23'!I37*(1+MYP!$K$9)</f>
        <v>5514.0367680000008</v>
      </c>
      <c r="J37" s="39">
        <f>+'FY23'!J37*(1+MYP!$K$9)</f>
        <v>2935.301328</v>
      </c>
      <c r="K37" s="39">
        <f>+'FY23'!K37*(1+MYP!$K$9)</f>
        <v>2935.301328</v>
      </c>
      <c r="L37" s="39">
        <f>+'FY23'!L37*(1+MYP!$K$9)</f>
        <v>2043.886608</v>
      </c>
      <c r="M37" s="39">
        <f>+'FY23'!M37*(1+MYP!$K$9)</f>
        <v>4622.6220480000002</v>
      </c>
      <c r="N37" s="39">
        <f>+'FY23'!N37*(1+MYP!$K$9)</f>
        <v>3826.7160480000002</v>
      </c>
      <c r="O37" s="39">
        <f>+'FY23'!O37*(1+MYP!$K$9)</f>
        <v>4361.5648799999999</v>
      </c>
      <c r="P37" s="39">
        <f>+'FY23'!P37*(1+MYP!$K$9)</f>
        <v>0</v>
      </c>
      <c r="Q37" s="100"/>
      <c r="R37" s="41"/>
      <c r="S37" s="59">
        <f t="shared" si="14"/>
        <v>37363.011264000008</v>
      </c>
      <c r="T37" s="41"/>
      <c r="U37" s="39">
        <f>'FY23'!S37</f>
        <v>36630.403200000001</v>
      </c>
      <c r="V37" s="39">
        <f t="shared" si="15"/>
        <v>-732.60806400000729</v>
      </c>
      <c r="W37" s="39"/>
    </row>
    <row r="38" spans="3:23" s="37" customFormat="1" ht="12" x14ac:dyDescent="0.2">
      <c r="C38" s="199">
        <v>6161</v>
      </c>
      <c r="D38" s="37" t="s">
        <v>97</v>
      </c>
      <c r="E38" s="39">
        <f>+'FY23'!E38*(1+MYP!$K$9)</f>
        <v>0</v>
      </c>
      <c r="F38" s="39">
        <f>+'FY23'!F38*(1+MYP!$K$9)</f>
        <v>0</v>
      </c>
      <c r="G38" s="39">
        <f>+'FY23'!G38*(1+MYP!$K$9)</f>
        <v>0</v>
      </c>
      <c r="H38" s="39">
        <f>+'FY23'!H38*(1+MYP!$K$9)</f>
        <v>0</v>
      </c>
      <c r="I38" s="39">
        <f>+'FY23'!I38*(1+MYP!$K$9)</f>
        <v>0</v>
      </c>
      <c r="J38" s="39">
        <f>+'FY23'!J38*(1+MYP!$K$9)</f>
        <v>0</v>
      </c>
      <c r="K38" s="39">
        <f>+'FY23'!K38*(1+MYP!$K$9)</f>
        <v>0</v>
      </c>
      <c r="L38" s="39">
        <f>+'FY23'!L38*(1+MYP!$K$9)</f>
        <v>0</v>
      </c>
      <c r="M38" s="39">
        <f>+'FY23'!M38*(1+MYP!$K$9)</f>
        <v>0</v>
      </c>
      <c r="N38" s="39">
        <f>+'FY23'!N38*(1+MYP!$K$9)</f>
        <v>0</v>
      </c>
      <c r="O38" s="39">
        <f>+'FY23'!O38*(1+MYP!$K$9)</f>
        <v>0</v>
      </c>
      <c r="P38" s="39">
        <f>+'FY23'!P38*(1+MYP!$K$9)</f>
        <v>0</v>
      </c>
      <c r="Q38" s="100"/>
      <c r="R38" s="41"/>
      <c r="S38" s="59">
        <f t="shared" si="14"/>
        <v>0</v>
      </c>
      <c r="T38" s="41"/>
      <c r="U38" s="39">
        <f>'FY23'!S38</f>
        <v>0</v>
      </c>
      <c r="V38" s="39">
        <f t="shared" si="15"/>
        <v>0</v>
      </c>
      <c r="W38" s="39"/>
    </row>
    <row r="39" spans="3:23" s="37" customFormat="1" ht="12" x14ac:dyDescent="0.2">
      <c r="C39" s="199">
        <v>6164</v>
      </c>
      <c r="D39" s="37" t="s">
        <v>98</v>
      </c>
      <c r="E39" s="39">
        <f>+'FY23'!E39*(1+MYP!$K$9)</f>
        <v>0</v>
      </c>
      <c r="F39" s="39">
        <f>+'FY23'!F39*(1+MYP!$K$9)</f>
        <v>0</v>
      </c>
      <c r="G39" s="39">
        <f>+'FY23'!G39*(1+MYP!$K$9)</f>
        <v>795.90600000000006</v>
      </c>
      <c r="H39" s="39">
        <f>+'FY23'!H39*(1+MYP!$K$9)</f>
        <v>1061.2080000000001</v>
      </c>
      <c r="I39" s="39">
        <f>+'FY23'!I39*(1+MYP!$K$9)</f>
        <v>795.90600000000006</v>
      </c>
      <c r="J39" s="39">
        <f>+'FY23'!J39*(1+MYP!$K$9)</f>
        <v>1326.51</v>
      </c>
      <c r="K39" s="39">
        <f>+'FY23'!K39*(1+MYP!$K$9)</f>
        <v>1326.51</v>
      </c>
      <c r="L39" s="39">
        <f>+'FY23'!L39*(1+MYP!$K$9)</f>
        <v>2122.4160000000002</v>
      </c>
      <c r="M39" s="39">
        <f>+'FY23'!M39*(1+MYP!$K$9)</f>
        <v>2387.7180000000003</v>
      </c>
      <c r="N39" s="39">
        <f>+'FY23'!N39*(1+MYP!$K$9)</f>
        <v>2122.4160000000002</v>
      </c>
      <c r="O39" s="39">
        <f>+'FY23'!O39*(1+MYP!$K$9)</f>
        <v>1326.51</v>
      </c>
      <c r="P39" s="39">
        <f>+'FY23'!P39*(1+MYP!$K$9)</f>
        <v>0</v>
      </c>
      <c r="Q39" s="100"/>
      <c r="R39" s="41"/>
      <c r="S39" s="59">
        <f t="shared" si="14"/>
        <v>13265.1</v>
      </c>
      <c r="T39" s="41"/>
      <c r="U39" s="39">
        <f>'FY23'!S39</f>
        <v>13005</v>
      </c>
      <c r="V39" s="39">
        <f t="shared" si="15"/>
        <v>-260.10000000000036</v>
      </c>
      <c r="W39" s="39"/>
    </row>
    <row r="40" spans="3:23" s="37" customFormat="1" ht="12" x14ac:dyDescent="0.2">
      <c r="C40" s="199">
        <v>6167</v>
      </c>
      <c r="D40" s="37" t="s">
        <v>231</v>
      </c>
      <c r="E40" s="39">
        <f>+'FY23'!E40*(1+MYP!$K$9)</f>
        <v>0</v>
      </c>
      <c r="F40" s="39">
        <f>+'FY23'!F40*(1+MYP!$K$9)</f>
        <v>0</v>
      </c>
      <c r="G40" s="39">
        <f>+'FY23'!G40*(1+MYP!$K$9)</f>
        <v>0</v>
      </c>
      <c r="H40" s="39">
        <f>+'FY23'!H40*(1+MYP!$K$9)</f>
        <v>0</v>
      </c>
      <c r="I40" s="39">
        <f>+'FY23'!I40*(1+MYP!$K$9)</f>
        <v>0</v>
      </c>
      <c r="J40" s="39">
        <f>+'FY23'!J40*(1+MYP!$K$9)</f>
        <v>530.60400000000004</v>
      </c>
      <c r="K40" s="39">
        <f>+'FY23'!K40*(1+MYP!$K$9)</f>
        <v>530.60400000000004</v>
      </c>
      <c r="L40" s="39">
        <f>+'FY23'!L40*(1+MYP!$K$9)</f>
        <v>530.60400000000004</v>
      </c>
      <c r="M40" s="39">
        <f>+'FY23'!M40*(1+MYP!$K$9)</f>
        <v>530.60400000000004</v>
      </c>
      <c r="N40" s="39">
        <f>+'FY23'!N40*(1+MYP!$K$9)</f>
        <v>530.60400000000004</v>
      </c>
      <c r="O40" s="39">
        <f>+'FY23'!O40*(1+MYP!$K$9)</f>
        <v>0</v>
      </c>
      <c r="P40" s="39">
        <f>+'FY23'!P40*(1+MYP!$K$9)</f>
        <v>0</v>
      </c>
      <c r="Q40" s="100"/>
      <c r="R40" s="41"/>
      <c r="S40" s="59">
        <f t="shared" si="14"/>
        <v>2653.0200000000004</v>
      </c>
      <c r="T40" s="41"/>
      <c r="U40" s="39">
        <f>'FY23'!S40</f>
        <v>2601</v>
      </c>
      <c r="V40" s="39">
        <f t="shared" si="15"/>
        <v>-52.020000000000437</v>
      </c>
      <c r="W40" s="39"/>
    </row>
    <row r="41" spans="3:23" s="37" customFormat="1" ht="12" x14ac:dyDescent="0.2">
      <c r="C41" s="38"/>
      <c r="E41" s="50">
        <f t="shared" ref="E41:P41" si="16">SUBTOTAL(9,E31:E40)</f>
        <v>102418.24951722601</v>
      </c>
      <c r="F41" s="50">
        <f t="shared" si="16"/>
        <v>107066.34055722601</v>
      </c>
      <c r="G41" s="50">
        <f t="shared" si="16"/>
        <v>107836.77756522602</v>
      </c>
      <c r="H41" s="50">
        <f t="shared" si="16"/>
        <v>111062.84988522601</v>
      </c>
      <c r="I41" s="50">
        <f t="shared" si="16"/>
        <v>109524.09828522602</v>
      </c>
      <c r="J41" s="50">
        <f t="shared" si="16"/>
        <v>108006.57084522602</v>
      </c>
      <c r="K41" s="50">
        <f t="shared" si="16"/>
        <v>110871.83244522601</v>
      </c>
      <c r="L41" s="50">
        <f t="shared" si="16"/>
        <v>107911.06212522602</v>
      </c>
      <c r="M41" s="50">
        <f t="shared" si="16"/>
        <v>109959.19356522601</v>
      </c>
      <c r="N41" s="50">
        <f t="shared" si="16"/>
        <v>111763.24716522601</v>
      </c>
      <c r="O41" s="50">
        <f t="shared" si="16"/>
        <v>111767.49199722601</v>
      </c>
      <c r="P41" s="50">
        <f t="shared" si="16"/>
        <v>128417.84551722601</v>
      </c>
      <c r="Q41" s="51"/>
      <c r="R41" s="41"/>
      <c r="S41" s="61">
        <f>SUBTOTAL(9,S31:S40)</f>
        <v>1326605.5594707122</v>
      </c>
      <c r="T41" s="41"/>
      <c r="U41" s="50">
        <f>SUBTOTAL(9,U31:U40)</f>
        <v>1300593.6857556005</v>
      </c>
      <c r="V41" s="50">
        <f>SUBTOTAL(9,V31:V40)</f>
        <v>-26011.873715111822</v>
      </c>
      <c r="W41" s="39"/>
    </row>
    <row r="42" spans="3:23" s="37" customFormat="1" ht="12" x14ac:dyDescent="0.2">
      <c r="C42" s="49" t="s">
        <v>99</v>
      </c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44"/>
      <c r="R42" s="41"/>
      <c r="S42" s="59"/>
      <c r="T42" s="41"/>
      <c r="U42" s="39"/>
      <c r="V42" s="39"/>
      <c r="W42" s="39"/>
    </row>
    <row r="43" spans="3:23" s="37" customFormat="1" ht="12" x14ac:dyDescent="0.2">
      <c r="C43" s="199">
        <v>6211</v>
      </c>
      <c r="D43" s="37" t="s">
        <v>198</v>
      </c>
      <c r="E43" s="39">
        <f>+'FY23'!E43*(1+MYP!$K$9)</f>
        <v>0</v>
      </c>
      <c r="F43" s="39">
        <f>+'FY23'!F43*(1+MYP!$K$9)</f>
        <v>0</v>
      </c>
      <c r="G43" s="39">
        <f>+'FY23'!G43*(1+MYP!$K$9)</f>
        <v>0</v>
      </c>
      <c r="H43" s="39">
        <f>+'FY23'!H43*(1+MYP!$K$9)</f>
        <v>0</v>
      </c>
      <c r="I43" s="39">
        <f>+'FY23'!I43*(1+MYP!$K$9)</f>
        <v>0</v>
      </c>
      <c r="J43" s="39">
        <f>+'FY23'!J43*(1+MYP!$K$9)</f>
        <v>0</v>
      </c>
      <c r="K43" s="39">
        <f>+'FY23'!K43*(1+MYP!$K$9)</f>
        <v>0</v>
      </c>
      <c r="L43" s="39">
        <f>+'FY23'!L43*(1+MYP!$K$9)</f>
        <v>0</v>
      </c>
      <c r="M43" s="39">
        <f>+'FY23'!M43*(1+MYP!$K$9)</f>
        <v>0</v>
      </c>
      <c r="N43" s="39">
        <f>+'FY23'!N43*(1+MYP!$K$9)</f>
        <v>0</v>
      </c>
      <c r="O43" s="39">
        <f>+'FY23'!O43*(1+MYP!$K$9)</f>
        <v>0</v>
      </c>
      <c r="P43" s="39">
        <f>+'FY23'!P43*(1+MYP!$K$9)</f>
        <v>0</v>
      </c>
      <c r="Q43" s="36"/>
      <c r="R43" s="41"/>
      <c r="S43" s="59">
        <f t="shared" ref="S43:S61" si="17">SUM(E43:Q43)</f>
        <v>0</v>
      </c>
      <c r="T43" s="41"/>
      <c r="U43" s="39">
        <f>'FY23'!S43</f>
        <v>0</v>
      </c>
      <c r="V43" s="39">
        <f t="shared" ref="V43:V61" si="18">U43-S43</f>
        <v>0</v>
      </c>
      <c r="W43" s="39"/>
    </row>
    <row r="44" spans="3:23" s="37" customFormat="1" ht="12" x14ac:dyDescent="0.2">
      <c r="C44" s="199">
        <v>6214</v>
      </c>
      <c r="D44" s="37" t="s">
        <v>199</v>
      </c>
      <c r="E44" s="39">
        <f>+'FY23'!E44*(1+MYP!$K$9)</f>
        <v>157.05878400000003</v>
      </c>
      <c r="F44" s="39">
        <f>+'FY23'!F44*(1+MYP!$K$9)</f>
        <v>157.05878400000003</v>
      </c>
      <c r="G44" s="39">
        <f>+'FY23'!G44*(1+MYP!$K$9)</f>
        <v>157.05878400000003</v>
      </c>
      <c r="H44" s="39">
        <f>+'FY23'!H44*(1+MYP!$K$9)</f>
        <v>157.05878400000003</v>
      </c>
      <c r="I44" s="39">
        <f>+'FY23'!I44*(1+MYP!$K$9)</f>
        <v>157.05878400000003</v>
      </c>
      <c r="J44" s="39">
        <f>+'FY23'!J44*(1+MYP!$K$9)</f>
        <v>157.05878400000003</v>
      </c>
      <c r="K44" s="39">
        <f>+'FY23'!K44*(1+MYP!$K$9)</f>
        <v>157.05878400000003</v>
      </c>
      <c r="L44" s="39">
        <f>+'FY23'!L44*(1+MYP!$K$9)</f>
        <v>157.05878400000003</v>
      </c>
      <c r="M44" s="39">
        <f>+'FY23'!M44*(1+MYP!$K$9)</f>
        <v>157.05878400000003</v>
      </c>
      <c r="N44" s="39">
        <f>+'FY23'!N44*(1+MYP!$K$9)</f>
        <v>157.05878400000003</v>
      </c>
      <c r="O44" s="39">
        <f>+'FY23'!O44*(1+MYP!$K$9)</f>
        <v>157.05878400000003</v>
      </c>
      <c r="P44" s="39">
        <f>+'FY23'!P44*(1+MYP!$K$9)</f>
        <v>157.05878400000003</v>
      </c>
      <c r="Q44" s="36"/>
      <c r="R44" s="41"/>
      <c r="S44" s="59">
        <f t="shared" si="17"/>
        <v>1884.7054080000005</v>
      </c>
      <c r="T44" s="41"/>
      <c r="U44" s="39">
        <f>'FY23'!S44</f>
        <v>1847.7504000000001</v>
      </c>
      <c r="V44" s="39">
        <f t="shared" si="18"/>
        <v>-36.955008000000362</v>
      </c>
      <c r="W44" s="39"/>
    </row>
    <row r="45" spans="3:23" s="37" customFormat="1" ht="12" x14ac:dyDescent="0.2">
      <c r="C45" s="199">
        <v>6217</v>
      </c>
      <c r="D45" s="37" t="s">
        <v>222</v>
      </c>
      <c r="E45" s="39">
        <f>+'FY23'!E45*(1+MYP!$K$9)</f>
        <v>353.65276800000004</v>
      </c>
      <c r="F45" s="39">
        <f>+'FY23'!F45*(1+MYP!$K$9)</f>
        <v>353.65276800000004</v>
      </c>
      <c r="G45" s="39">
        <f>+'FY23'!G45*(1+MYP!$K$9)</f>
        <v>353.65276800000004</v>
      </c>
      <c r="H45" s="39">
        <f>+'FY23'!H45*(1+MYP!$K$9)</f>
        <v>353.65276800000004</v>
      </c>
      <c r="I45" s="39">
        <f>+'FY23'!I45*(1+MYP!$K$9)</f>
        <v>353.65276800000004</v>
      </c>
      <c r="J45" s="39">
        <f>+'FY23'!J45*(1+MYP!$K$9)</f>
        <v>353.65276800000004</v>
      </c>
      <c r="K45" s="39">
        <f>+'FY23'!K45*(1+MYP!$K$9)</f>
        <v>353.65276800000004</v>
      </c>
      <c r="L45" s="39">
        <f>+'FY23'!L45*(1+MYP!$K$9)</f>
        <v>353.65276800000004</v>
      </c>
      <c r="M45" s="39">
        <f>+'FY23'!M45*(1+MYP!$K$9)</f>
        <v>353.65276800000004</v>
      </c>
      <c r="N45" s="39">
        <f>+'FY23'!N45*(1+MYP!$K$9)</f>
        <v>353.65276800000004</v>
      </c>
      <c r="O45" s="39">
        <f>+'FY23'!O45*(1+MYP!$K$9)</f>
        <v>353.65276800000004</v>
      </c>
      <c r="P45" s="39">
        <f>+'FY23'!P45*(1+MYP!$K$9)</f>
        <v>353.65276800000004</v>
      </c>
      <c r="Q45" s="36"/>
      <c r="R45" s="41"/>
      <c r="S45" s="59">
        <f t="shared" si="17"/>
        <v>4243.833216</v>
      </c>
      <c r="T45" s="41"/>
      <c r="U45" s="39">
        <f>'FY23'!S45</f>
        <v>4160.6208000000015</v>
      </c>
      <c r="V45" s="39">
        <f t="shared" si="18"/>
        <v>-83.212415999998484</v>
      </c>
      <c r="W45" s="39"/>
    </row>
    <row r="46" spans="3:23" s="37" customFormat="1" ht="12" x14ac:dyDescent="0.2">
      <c r="C46" s="199">
        <v>6227</v>
      </c>
      <c r="D46" s="37" t="s">
        <v>221</v>
      </c>
      <c r="E46" s="39">
        <f>+'FY23'!E46*(1+MYP!$K$9)</f>
        <v>193.87562688</v>
      </c>
      <c r="F46" s="39">
        <f>+'FY23'!F46*(1+MYP!$K$9)</f>
        <v>193.87562688</v>
      </c>
      <c r="G46" s="39">
        <f>+'FY23'!G46*(1+MYP!$K$9)</f>
        <v>193.87562688</v>
      </c>
      <c r="H46" s="39">
        <f>+'FY23'!H46*(1+MYP!$K$9)</f>
        <v>193.87562688</v>
      </c>
      <c r="I46" s="39">
        <f>+'FY23'!I46*(1+MYP!$K$9)</f>
        <v>193.87562688</v>
      </c>
      <c r="J46" s="39">
        <f>+'FY23'!J46*(1+MYP!$K$9)</f>
        <v>193.87562688</v>
      </c>
      <c r="K46" s="39">
        <f>+'FY23'!K46*(1+MYP!$K$9)</f>
        <v>193.87562688</v>
      </c>
      <c r="L46" s="39">
        <f>+'FY23'!L46*(1+MYP!$K$9)</f>
        <v>193.87562688</v>
      </c>
      <c r="M46" s="39">
        <f>+'FY23'!M46*(1+MYP!$K$9)</f>
        <v>193.87562688</v>
      </c>
      <c r="N46" s="39">
        <f>+'FY23'!N46*(1+MYP!$K$9)</f>
        <v>193.87562688</v>
      </c>
      <c r="O46" s="39">
        <f>+'FY23'!O46*(1+MYP!$K$9)</f>
        <v>193.87562688</v>
      </c>
      <c r="P46" s="39">
        <f>+'FY23'!P46*(1+MYP!$K$9)</f>
        <v>193.87562688</v>
      </c>
      <c r="Q46" s="36"/>
      <c r="R46" s="41"/>
      <c r="S46" s="59">
        <f t="shared" si="17"/>
        <v>2326.5075225599999</v>
      </c>
      <c r="T46" s="41"/>
      <c r="U46" s="39">
        <f>'FY23'!S46</f>
        <v>2280.8897279999996</v>
      </c>
      <c r="V46" s="39">
        <f t="shared" si="18"/>
        <v>-45.61779456000022</v>
      </c>
      <c r="W46" s="39"/>
    </row>
    <row r="47" spans="3:23" s="37" customFormat="1" ht="12" x14ac:dyDescent="0.2">
      <c r="C47" s="199">
        <v>6231</v>
      </c>
      <c r="D47" s="37" t="s">
        <v>205</v>
      </c>
      <c r="E47" s="39">
        <f>+'FY23'!E47*(1+MYP!$K$9)</f>
        <v>0</v>
      </c>
      <c r="F47" s="39">
        <f>+'FY23'!F47*(1+MYP!$K$9)</f>
        <v>0</v>
      </c>
      <c r="G47" s="39">
        <f>+'FY23'!G47*(1+MYP!$K$9)</f>
        <v>0</v>
      </c>
      <c r="H47" s="39">
        <f>+'FY23'!H47*(1+MYP!$K$9)</f>
        <v>0</v>
      </c>
      <c r="I47" s="39">
        <f>+'FY23'!I47*(1+MYP!$K$9)</f>
        <v>0</v>
      </c>
      <c r="J47" s="39">
        <f>+'FY23'!J47*(1+MYP!$K$9)</f>
        <v>0</v>
      </c>
      <c r="K47" s="39">
        <f>+'FY23'!K47*(1+MYP!$K$9)</f>
        <v>0</v>
      </c>
      <c r="L47" s="39">
        <f>+'FY23'!L47*(1+MYP!$K$9)</f>
        <v>0</v>
      </c>
      <c r="M47" s="39">
        <f>+'FY23'!M47*(1+MYP!$K$9)</f>
        <v>0</v>
      </c>
      <c r="N47" s="39">
        <f>+'FY23'!N47*(1+MYP!$K$9)</f>
        <v>0</v>
      </c>
      <c r="O47" s="39">
        <f>+'FY23'!O47*(1+MYP!$K$9)</f>
        <v>0</v>
      </c>
      <c r="P47" s="39">
        <f>+'FY23'!P47*(1+MYP!$K$9)</f>
        <v>0</v>
      </c>
      <c r="Q47" s="36"/>
      <c r="R47" s="41"/>
      <c r="S47" s="59">
        <f>SUM(E47:Q47)</f>
        <v>0</v>
      </c>
      <c r="T47" s="41"/>
      <c r="U47" s="39">
        <f>'FY23'!S47</f>
        <v>0</v>
      </c>
      <c r="V47" s="39">
        <f t="shared" si="18"/>
        <v>0</v>
      </c>
      <c r="W47" s="39"/>
    </row>
    <row r="48" spans="3:23" s="37" customFormat="1" ht="12" x14ac:dyDescent="0.2">
      <c r="C48" s="199">
        <v>6234</v>
      </c>
      <c r="D48" s="37" t="s">
        <v>206</v>
      </c>
      <c r="E48" s="39">
        <f>+'FY23'!E48*(1+MYP!$K$9)</f>
        <v>11321.650030324501</v>
      </c>
      <c r="F48" s="39">
        <f>+'FY23'!F48*(1+MYP!$K$9)</f>
        <v>11321.650030324501</v>
      </c>
      <c r="G48" s="39">
        <f>+'FY23'!G48*(1+MYP!$K$9)</f>
        <v>11321.650030324501</v>
      </c>
      <c r="H48" s="39">
        <f>+'FY23'!H48*(1+MYP!$K$9)</f>
        <v>11321.650030324501</v>
      </c>
      <c r="I48" s="39">
        <f>+'FY23'!I48*(1+MYP!$K$9)</f>
        <v>11321.650030324501</v>
      </c>
      <c r="J48" s="39">
        <f>+'FY23'!J48*(1+MYP!$K$9)</f>
        <v>11321.650030324501</v>
      </c>
      <c r="K48" s="39">
        <f>+'FY23'!K48*(1+MYP!$K$9)</f>
        <v>11321.650030324501</v>
      </c>
      <c r="L48" s="39">
        <f>+'FY23'!L48*(1+MYP!$K$9)</f>
        <v>11321.650030324501</v>
      </c>
      <c r="M48" s="39">
        <f>+'FY23'!M48*(1+MYP!$K$9)</f>
        <v>11321.650030324501</v>
      </c>
      <c r="N48" s="39">
        <f>+'FY23'!N48*(1+MYP!$K$9)</f>
        <v>11321.650030324501</v>
      </c>
      <c r="O48" s="39">
        <f>+'FY23'!O48*(1+MYP!$K$9)</f>
        <v>11321.650030324501</v>
      </c>
      <c r="P48" s="39">
        <f>+'FY23'!P48*(1+MYP!$K$9)</f>
        <v>11321.650030324501</v>
      </c>
      <c r="Q48" s="36"/>
      <c r="R48" s="41"/>
      <c r="S48" s="59">
        <f t="shared" si="17"/>
        <v>135859.800363894</v>
      </c>
      <c r="T48" s="41"/>
      <c r="U48" s="39">
        <f>'FY23'!S48</f>
        <v>133195.8827097</v>
      </c>
      <c r="V48" s="39">
        <f t="shared" si="18"/>
        <v>-2663.917654193996</v>
      </c>
      <c r="W48" s="39"/>
    </row>
    <row r="49" spans="3:23" s="37" customFormat="1" ht="12" x14ac:dyDescent="0.2">
      <c r="C49" s="199">
        <v>6237</v>
      </c>
      <c r="D49" s="37" t="s">
        <v>223</v>
      </c>
      <c r="E49" s="39">
        <f>+'FY23'!E49*(1+MYP!$K$9)</f>
        <v>11205.150769452468</v>
      </c>
      <c r="F49" s="39">
        <f>+'FY23'!F49*(1+MYP!$K$9)</f>
        <v>11205.150769452468</v>
      </c>
      <c r="G49" s="39">
        <f>+'FY23'!G49*(1+MYP!$K$9)</f>
        <v>11205.150769452468</v>
      </c>
      <c r="H49" s="39">
        <f>+'FY23'!H49*(1+MYP!$K$9)</f>
        <v>11205.150769452468</v>
      </c>
      <c r="I49" s="39">
        <f>+'FY23'!I49*(1+MYP!$K$9)</f>
        <v>11205.150769452468</v>
      </c>
      <c r="J49" s="39">
        <f>+'FY23'!J49*(1+MYP!$K$9)</f>
        <v>11205.150769452468</v>
      </c>
      <c r="K49" s="39">
        <f>+'FY23'!K49*(1+MYP!$K$9)</f>
        <v>11205.150769452468</v>
      </c>
      <c r="L49" s="39">
        <f>+'FY23'!L49*(1+MYP!$K$9)</f>
        <v>11205.150769452468</v>
      </c>
      <c r="M49" s="39">
        <f>+'FY23'!M49*(1+MYP!$K$9)</f>
        <v>11205.150769452468</v>
      </c>
      <c r="N49" s="39">
        <f>+'FY23'!N49*(1+MYP!$K$9)</f>
        <v>11205.150769452468</v>
      </c>
      <c r="O49" s="39">
        <f>+'FY23'!O49*(1+MYP!$K$9)</f>
        <v>11205.150769452468</v>
      </c>
      <c r="P49" s="39">
        <f>+'FY23'!P49*(1+MYP!$K$9)</f>
        <v>11205.150769452468</v>
      </c>
      <c r="Q49" s="36"/>
      <c r="R49" s="41"/>
      <c r="S49" s="59">
        <f t="shared" si="17"/>
        <v>134461.80923342958</v>
      </c>
      <c r="T49" s="41"/>
      <c r="U49" s="39">
        <f>'FY23'!S49</f>
        <v>131825.30317002899</v>
      </c>
      <c r="V49" s="39">
        <f t="shared" si="18"/>
        <v>-2636.5060634005931</v>
      </c>
      <c r="W49" s="39"/>
    </row>
    <row r="50" spans="3:23" s="37" customFormat="1" ht="12" x14ac:dyDescent="0.2">
      <c r="C50" s="199">
        <v>6241</v>
      </c>
      <c r="D50" s="37" t="s">
        <v>196</v>
      </c>
      <c r="E50" s="39">
        <f>+'FY23'!E50*(1+MYP!$K$9)</f>
        <v>0</v>
      </c>
      <c r="F50" s="39">
        <f>+'FY23'!F50*(1+MYP!$K$9)</f>
        <v>0</v>
      </c>
      <c r="G50" s="39">
        <f>+'FY23'!G50*(1+MYP!$K$9)</f>
        <v>0</v>
      </c>
      <c r="H50" s="39">
        <f>+'FY23'!H50*(1+MYP!$K$9)</f>
        <v>0</v>
      </c>
      <c r="I50" s="39">
        <f>+'FY23'!I50*(1+MYP!$K$9)</f>
        <v>0</v>
      </c>
      <c r="J50" s="39">
        <f>+'FY23'!J50*(1+MYP!$K$9)</f>
        <v>0</v>
      </c>
      <c r="K50" s="39">
        <f>+'FY23'!K50*(1+MYP!$K$9)</f>
        <v>0</v>
      </c>
      <c r="L50" s="39">
        <f>+'FY23'!L50*(1+MYP!$K$9)</f>
        <v>0</v>
      </c>
      <c r="M50" s="39">
        <f>+'FY23'!M50*(1+MYP!$K$9)</f>
        <v>0</v>
      </c>
      <c r="N50" s="39">
        <f>+'FY23'!N50*(1+MYP!$K$9)</f>
        <v>0</v>
      </c>
      <c r="O50" s="39">
        <f>+'FY23'!O50*(1+MYP!$K$9)</f>
        <v>0</v>
      </c>
      <c r="P50" s="39">
        <f>+'FY23'!P50*(1+MYP!$K$9)</f>
        <v>0</v>
      </c>
      <c r="Q50" s="36"/>
      <c r="R50" s="41"/>
      <c r="S50" s="59">
        <f t="shared" si="17"/>
        <v>0</v>
      </c>
      <c r="T50" s="41"/>
      <c r="U50" s="39">
        <f>'FY23'!S50</f>
        <v>0</v>
      </c>
      <c r="V50" s="39">
        <f t="shared" si="18"/>
        <v>0</v>
      </c>
      <c r="W50" s="39"/>
    </row>
    <row r="51" spans="3:23" s="37" customFormat="1" ht="12" x14ac:dyDescent="0.2">
      <c r="C51" s="199">
        <v>6244</v>
      </c>
      <c r="D51" s="37" t="s">
        <v>197</v>
      </c>
      <c r="E51" s="39">
        <f>+'FY23'!E51*(1+MYP!$K$9)</f>
        <v>631.94950991610006</v>
      </c>
      <c r="F51" s="39">
        <f>+'FY23'!F51*(1+MYP!$K$9)</f>
        <v>631.94950991610006</v>
      </c>
      <c r="G51" s="39">
        <f>+'FY23'!G51*(1+MYP!$K$9)</f>
        <v>643.4901469161</v>
      </c>
      <c r="H51" s="39">
        <f>+'FY23'!H51*(1+MYP!$K$9)</f>
        <v>647.33702591610006</v>
      </c>
      <c r="I51" s="39">
        <f>+'FY23'!I51*(1+MYP!$K$9)</f>
        <v>655.03078391610018</v>
      </c>
      <c r="J51" s="39">
        <f>+'FY23'!J51*(1+MYP!$K$9)</f>
        <v>662.72454191610018</v>
      </c>
      <c r="K51" s="39">
        <f>+'FY23'!K51*(1+MYP!$K$9)</f>
        <v>662.72454191610018</v>
      </c>
      <c r="L51" s="39">
        <f>+'FY23'!L51*(1+MYP!$K$9)</f>
        <v>674.26517891610001</v>
      </c>
      <c r="M51" s="39">
        <f>+'FY23'!M51*(1+MYP!$K$9)</f>
        <v>666.57142091610012</v>
      </c>
      <c r="N51" s="39">
        <f>+'FY23'!N51*(1+MYP!$K$9)</f>
        <v>662.72454191610018</v>
      </c>
      <c r="O51" s="39">
        <f>+'FY23'!O51*(1+MYP!$K$9)</f>
        <v>662.72454191610018</v>
      </c>
      <c r="P51" s="39">
        <f>+'FY23'!P51*(1+MYP!$K$9)</f>
        <v>1008.9436519161002</v>
      </c>
      <c r="Q51" s="36"/>
      <c r="R51" s="41"/>
      <c r="S51" s="59">
        <f t="shared" si="17"/>
        <v>8210.4353959932014</v>
      </c>
      <c r="T51" s="41"/>
      <c r="U51" s="39">
        <f>'FY23'!S51</f>
        <v>8049.4464666600015</v>
      </c>
      <c r="V51" s="39">
        <f t="shared" si="18"/>
        <v>-160.98892933319985</v>
      </c>
      <c r="W51" s="39"/>
    </row>
    <row r="52" spans="3:23" s="37" customFormat="1" ht="12" x14ac:dyDescent="0.2">
      <c r="C52" s="199">
        <v>6247</v>
      </c>
      <c r="D52" s="37" t="s">
        <v>224</v>
      </c>
      <c r="E52" s="39">
        <f>+'FY23'!E52*(1+MYP!$K$9)</f>
        <v>779.19468808367708</v>
      </c>
      <c r="F52" s="39">
        <f>+'FY23'!F52*(1+MYP!$K$9)</f>
        <v>846.59200816367695</v>
      </c>
      <c r="G52" s="39">
        <f>+'FY23'!G52*(1+MYP!$K$9)</f>
        <v>846.22270777967708</v>
      </c>
      <c r="H52" s="39">
        <f>+'FY23'!H52*(1+MYP!$K$9)</f>
        <v>889.15387741967697</v>
      </c>
      <c r="I52" s="39">
        <f>+'FY23'!I52*(1+MYP!$K$9)</f>
        <v>859.14822121967723</v>
      </c>
      <c r="J52" s="39">
        <f>+'FY23'!J52*(1+MYP!$K$9)</f>
        <v>829.4503153396771</v>
      </c>
      <c r="K52" s="39">
        <f>+'FY23'!K52*(1+MYP!$K$9)</f>
        <v>870.99660853967714</v>
      </c>
      <c r="L52" s="39">
        <f>+'FY23'!L52*(1+MYP!$K$9)</f>
        <v>816.52480189967707</v>
      </c>
      <c r="M52" s="39">
        <f>+'FY23'!M52*(1+MYP!$K$9)</f>
        <v>853.91646577967708</v>
      </c>
      <c r="N52" s="39">
        <f>+'FY23'!N52*(1+MYP!$K$9)</f>
        <v>883.92212197967706</v>
      </c>
      <c r="O52" s="39">
        <f>+'FY23'!O52*(1+MYP!$K$9)</f>
        <v>883.98367204367696</v>
      </c>
      <c r="P52" s="39">
        <f>+'FY23'!P52*(1+MYP!$K$9)</f>
        <v>779.19468808367708</v>
      </c>
      <c r="Q52" s="36"/>
      <c r="R52" s="41"/>
      <c r="S52" s="59">
        <f t="shared" si="17"/>
        <v>10138.300176332126</v>
      </c>
      <c r="T52" s="41"/>
      <c r="U52" s="39">
        <f>'FY23'!S52</f>
        <v>9939.5099767962001</v>
      </c>
      <c r="V52" s="39">
        <f t="shared" si="18"/>
        <v>-198.79019953592615</v>
      </c>
      <c r="W52" s="39"/>
    </row>
    <row r="53" spans="3:23" s="37" customFormat="1" ht="12" x14ac:dyDescent="0.2">
      <c r="C53" s="199">
        <v>6261</v>
      </c>
      <c r="D53" s="37" t="s">
        <v>207</v>
      </c>
      <c r="E53" s="39">
        <f>+'FY23'!E53*(1+MYP!$K$9)</f>
        <v>0</v>
      </c>
      <c r="F53" s="39">
        <f>+'FY23'!F53*(1+MYP!$K$9)</f>
        <v>0</v>
      </c>
      <c r="G53" s="39">
        <f>+'FY23'!G53*(1+MYP!$K$9)</f>
        <v>0</v>
      </c>
      <c r="H53" s="39">
        <f>+'FY23'!H53*(1+MYP!$K$9)</f>
        <v>0</v>
      </c>
      <c r="I53" s="39">
        <f>+'FY23'!I53*(1+MYP!$K$9)</f>
        <v>0</v>
      </c>
      <c r="J53" s="39">
        <f>+'FY23'!J53*(1+MYP!$K$9)</f>
        <v>0</v>
      </c>
      <c r="K53" s="39">
        <f>+'FY23'!K53*(1+MYP!$K$9)</f>
        <v>0</v>
      </c>
      <c r="L53" s="39">
        <f>+'FY23'!L53*(1+MYP!$K$9)</f>
        <v>0</v>
      </c>
      <c r="M53" s="39">
        <f>+'FY23'!M53*(1+MYP!$K$9)</f>
        <v>0</v>
      </c>
      <c r="N53" s="39">
        <f>+'FY23'!N53*(1+MYP!$K$9)</f>
        <v>0</v>
      </c>
      <c r="O53" s="39">
        <f>+'FY23'!O53*(1+MYP!$K$9)</f>
        <v>0</v>
      </c>
      <c r="P53" s="39">
        <f>+'FY23'!P53*(1+MYP!$K$9)</f>
        <v>0</v>
      </c>
      <c r="Q53" s="36"/>
      <c r="R53" s="41"/>
      <c r="S53" s="59">
        <f t="shared" si="17"/>
        <v>0</v>
      </c>
      <c r="T53" s="41"/>
      <c r="U53" s="39">
        <f>'FY23'!S53</f>
        <v>0</v>
      </c>
      <c r="V53" s="39">
        <f t="shared" si="18"/>
        <v>0</v>
      </c>
      <c r="W53" s="39"/>
    </row>
    <row r="54" spans="3:23" s="37" customFormat="1" ht="12" x14ac:dyDescent="0.2">
      <c r="C54" s="199">
        <v>6264</v>
      </c>
      <c r="D54" s="37" t="s">
        <v>208</v>
      </c>
      <c r="E54" s="39">
        <f>+'FY23'!E54*(1+MYP!$K$9)</f>
        <v>165.54844800000001</v>
      </c>
      <c r="F54" s="39">
        <f>+'FY23'!F54*(1+MYP!$K$9)</f>
        <v>165.54844800000001</v>
      </c>
      <c r="G54" s="39">
        <f>+'FY23'!G54*(1+MYP!$K$9)</f>
        <v>165.54844800000001</v>
      </c>
      <c r="H54" s="39">
        <f>+'FY23'!H54*(1+MYP!$K$9)</f>
        <v>165.54844800000001</v>
      </c>
      <c r="I54" s="39">
        <f>+'FY23'!I54*(1+MYP!$K$9)</f>
        <v>165.54844800000001</v>
      </c>
      <c r="J54" s="39">
        <f>+'FY23'!J54*(1+MYP!$K$9)</f>
        <v>165.54844800000001</v>
      </c>
      <c r="K54" s="39">
        <f>+'FY23'!K54*(1+MYP!$K$9)</f>
        <v>165.54844800000001</v>
      </c>
      <c r="L54" s="39">
        <f>+'FY23'!L54*(1+MYP!$K$9)</f>
        <v>165.54844800000001</v>
      </c>
      <c r="M54" s="39">
        <f>+'FY23'!M54*(1+MYP!$K$9)</f>
        <v>165.54844800000001</v>
      </c>
      <c r="N54" s="39">
        <f>+'FY23'!N54*(1+MYP!$K$9)</f>
        <v>165.54844800000001</v>
      </c>
      <c r="O54" s="39">
        <f>+'FY23'!O54*(1+MYP!$K$9)</f>
        <v>165.54844800000001</v>
      </c>
      <c r="P54" s="39">
        <f>+'FY23'!P54*(1+MYP!$K$9)</f>
        <v>165.54844800000001</v>
      </c>
      <c r="Q54" s="36"/>
      <c r="R54" s="41"/>
      <c r="S54" s="59">
        <f t="shared" si="17"/>
        <v>1986.5813760000001</v>
      </c>
      <c r="T54" s="41"/>
      <c r="U54" s="39">
        <f>'FY23'!S54</f>
        <v>1947.6288000000002</v>
      </c>
      <c r="V54" s="39">
        <f t="shared" si="18"/>
        <v>-38.952575999999908</v>
      </c>
      <c r="W54" s="39"/>
    </row>
    <row r="55" spans="3:23" s="37" customFormat="1" ht="12" x14ac:dyDescent="0.2">
      <c r="C55" s="199">
        <v>6267</v>
      </c>
      <c r="D55" s="37" t="s">
        <v>225</v>
      </c>
      <c r="E55" s="39">
        <f>+'FY23'!E55*(1+MYP!$K$9)</f>
        <v>466.00972560000002</v>
      </c>
      <c r="F55" s="39">
        <f>+'FY23'!F55*(1+MYP!$K$9)</f>
        <v>466.00972560000002</v>
      </c>
      <c r="G55" s="39">
        <f>+'FY23'!G55*(1+MYP!$K$9)</f>
        <v>466.00972560000002</v>
      </c>
      <c r="H55" s="39">
        <f>+'FY23'!H55*(1+MYP!$K$9)</f>
        <v>466.00972560000002</v>
      </c>
      <c r="I55" s="39">
        <f>+'FY23'!I55*(1+MYP!$K$9)</f>
        <v>466.00972560000002</v>
      </c>
      <c r="J55" s="39">
        <f>+'FY23'!J55*(1+MYP!$K$9)</f>
        <v>466.00972560000002</v>
      </c>
      <c r="K55" s="39">
        <f>+'FY23'!K55*(1+MYP!$K$9)</f>
        <v>466.00972560000002</v>
      </c>
      <c r="L55" s="39">
        <f>+'FY23'!L55*(1+MYP!$K$9)</f>
        <v>466.00972560000002</v>
      </c>
      <c r="M55" s="39">
        <f>+'FY23'!M55*(1+MYP!$K$9)</f>
        <v>466.00972560000002</v>
      </c>
      <c r="N55" s="39">
        <f>+'FY23'!N55*(1+MYP!$K$9)</f>
        <v>466.00972560000002</v>
      </c>
      <c r="O55" s="39">
        <f>+'FY23'!O55*(1+MYP!$K$9)</f>
        <v>466.00972560000002</v>
      </c>
      <c r="P55" s="39">
        <f>+'FY23'!P55*(1+MYP!$K$9)</f>
        <v>466.00972560000002</v>
      </c>
      <c r="Q55" s="36"/>
      <c r="R55" s="41"/>
      <c r="S55" s="59">
        <f t="shared" si="17"/>
        <v>5592.1167071999998</v>
      </c>
      <c r="T55" s="41"/>
      <c r="U55" s="39">
        <f>'FY23'!S55</f>
        <v>5482.4673599999987</v>
      </c>
      <c r="V55" s="39">
        <f t="shared" si="18"/>
        <v>-109.6493472000011</v>
      </c>
      <c r="W55" s="39"/>
    </row>
    <row r="56" spans="3:23" s="37" customFormat="1" ht="12" x14ac:dyDescent="0.2">
      <c r="C56" s="199">
        <v>6271</v>
      </c>
      <c r="D56" s="37" t="s">
        <v>209</v>
      </c>
      <c r="E56" s="39">
        <f>+'FY23'!E56*(1+MYP!$K$9)</f>
        <v>0</v>
      </c>
      <c r="F56" s="39">
        <f>+'FY23'!F56*(1+MYP!$K$9)</f>
        <v>0</v>
      </c>
      <c r="G56" s="39">
        <f>+'FY23'!G56*(1+MYP!$K$9)</f>
        <v>0</v>
      </c>
      <c r="H56" s="39">
        <f>+'FY23'!H56*(1+MYP!$K$9)</f>
        <v>0</v>
      </c>
      <c r="I56" s="39">
        <f>+'FY23'!I56*(1+MYP!$K$9)</f>
        <v>0</v>
      </c>
      <c r="J56" s="39">
        <f>+'FY23'!J56*(1+MYP!$K$9)</f>
        <v>0</v>
      </c>
      <c r="K56" s="39">
        <f>+'FY23'!K56*(1+MYP!$K$9)</f>
        <v>0</v>
      </c>
      <c r="L56" s="39">
        <f>+'FY23'!L56*(1+MYP!$K$9)</f>
        <v>0</v>
      </c>
      <c r="M56" s="39">
        <f>+'FY23'!M56*(1+MYP!$K$9)</f>
        <v>0</v>
      </c>
      <c r="N56" s="39">
        <f>+'FY23'!N56*(1+MYP!$K$9)</f>
        <v>0</v>
      </c>
      <c r="O56" s="39">
        <f>+'FY23'!O56*(1+MYP!$K$9)</f>
        <v>0</v>
      </c>
      <c r="P56" s="39">
        <f>+'FY23'!P56*(1+MYP!$K$9)</f>
        <v>0</v>
      </c>
      <c r="Q56" s="36"/>
      <c r="R56" s="41"/>
      <c r="S56" s="59">
        <f t="shared" si="17"/>
        <v>0</v>
      </c>
      <c r="T56" s="41"/>
      <c r="U56" s="39">
        <f>'FY23'!S56</f>
        <v>0</v>
      </c>
      <c r="V56" s="39">
        <f t="shared" si="18"/>
        <v>0</v>
      </c>
      <c r="W56" s="39"/>
    </row>
    <row r="57" spans="3:23" s="37" customFormat="1" ht="12" x14ac:dyDescent="0.2">
      <c r="C57" s="199">
        <v>6274</v>
      </c>
      <c r="D57" s="37" t="s">
        <v>210</v>
      </c>
      <c r="E57" s="39">
        <f>+'FY23'!E57*(1+MYP!$K$9)</f>
        <v>353.89807741349995</v>
      </c>
      <c r="F57" s="39">
        <f>+'FY23'!F57*(1+MYP!$K$9)</f>
        <v>353.89807741349995</v>
      </c>
      <c r="G57" s="39">
        <f>+'FY23'!G57*(1+MYP!$K$9)</f>
        <v>353.89807741349995</v>
      </c>
      <c r="H57" s="39">
        <f>+'FY23'!H57*(1+MYP!$K$9)</f>
        <v>353.89807741349995</v>
      </c>
      <c r="I57" s="39">
        <f>+'FY23'!I57*(1+MYP!$K$9)</f>
        <v>353.89807741349995</v>
      </c>
      <c r="J57" s="39">
        <f>+'FY23'!J57*(1+MYP!$K$9)</f>
        <v>353.89807741349995</v>
      </c>
      <c r="K57" s="39">
        <f>+'FY23'!K57*(1+MYP!$K$9)</f>
        <v>353.89807741349995</v>
      </c>
      <c r="L57" s="39">
        <f>+'FY23'!L57*(1+MYP!$K$9)</f>
        <v>353.89807741349995</v>
      </c>
      <c r="M57" s="39">
        <f>+'FY23'!M57*(1+MYP!$K$9)</f>
        <v>353.89807741349995</v>
      </c>
      <c r="N57" s="39">
        <f>+'FY23'!N57*(1+MYP!$K$9)</f>
        <v>353.89807741349995</v>
      </c>
      <c r="O57" s="39">
        <f>+'FY23'!O57*(1+MYP!$K$9)</f>
        <v>353.89807741349995</v>
      </c>
      <c r="P57" s="39">
        <f>+'FY23'!P57*(1+MYP!$K$9)</f>
        <v>353.89807741349995</v>
      </c>
      <c r="Q57" s="36"/>
      <c r="R57" s="41"/>
      <c r="S57" s="59">
        <f t="shared" si="17"/>
        <v>4246.7769289619982</v>
      </c>
      <c r="T57" s="41"/>
      <c r="U57" s="39">
        <f>'FY23'!S57</f>
        <v>4163.5067930999985</v>
      </c>
      <c r="V57" s="39">
        <f t="shared" si="18"/>
        <v>-83.270135861999734</v>
      </c>
      <c r="W57" s="39"/>
    </row>
    <row r="58" spans="3:23" s="37" customFormat="1" ht="12" x14ac:dyDescent="0.2">
      <c r="C58" s="199">
        <v>6277</v>
      </c>
      <c r="D58" s="37" t="s">
        <v>226</v>
      </c>
      <c r="E58" s="39">
        <f>+'FY23'!E58*(1+MYP!$K$9)</f>
        <v>465.8030727556951</v>
      </c>
      <c r="F58" s="39">
        <f>+'FY23'!F58*(1+MYP!$K$9)</f>
        <v>465.8030727556951</v>
      </c>
      <c r="G58" s="39">
        <f>+'FY23'!G58*(1+MYP!$K$9)</f>
        <v>465.8030727556951</v>
      </c>
      <c r="H58" s="39">
        <f>+'FY23'!H58*(1+MYP!$K$9)</f>
        <v>465.8030727556951</v>
      </c>
      <c r="I58" s="39">
        <f>+'FY23'!I58*(1+MYP!$K$9)</f>
        <v>465.8030727556951</v>
      </c>
      <c r="J58" s="39">
        <f>+'FY23'!J58*(1+MYP!$K$9)</f>
        <v>465.8030727556951</v>
      </c>
      <c r="K58" s="39">
        <f>+'FY23'!K58*(1+MYP!$K$9)</f>
        <v>465.8030727556951</v>
      </c>
      <c r="L58" s="39">
        <f>+'FY23'!L58*(1+MYP!$K$9)</f>
        <v>465.8030727556951</v>
      </c>
      <c r="M58" s="39">
        <f>+'FY23'!M58*(1+MYP!$K$9)</f>
        <v>465.8030727556951</v>
      </c>
      <c r="N58" s="39">
        <f>+'FY23'!N58*(1+MYP!$K$9)</f>
        <v>465.8030727556951</v>
      </c>
      <c r="O58" s="39">
        <f>+'FY23'!O58*(1+MYP!$K$9)</f>
        <v>465.8030727556951</v>
      </c>
      <c r="P58" s="39">
        <f>+'FY23'!P58*(1+MYP!$K$9)</f>
        <v>465.8030727556951</v>
      </c>
      <c r="Q58" s="36"/>
      <c r="R58" s="41"/>
      <c r="S58" s="59">
        <f t="shared" si="17"/>
        <v>5589.6368730683416</v>
      </c>
      <c r="T58" s="41"/>
      <c r="U58" s="39">
        <f>'FY23'!S58</f>
        <v>5480.0361500670006</v>
      </c>
      <c r="V58" s="39">
        <f t="shared" si="18"/>
        <v>-109.60072300134107</v>
      </c>
      <c r="W58" s="39"/>
    </row>
    <row r="59" spans="3:23" s="37" customFormat="1" ht="12" x14ac:dyDescent="0.2">
      <c r="C59" s="199">
        <v>6281</v>
      </c>
      <c r="D59" s="37" t="s">
        <v>193</v>
      </c>
      <c r="E59" s="39">
        <f>+'FY23'!E59*(1+MYP!$K$9)</f>
        <v>0</v>
      </c>
      <c r="F59" s="39">
        <f>+'FY23'!F59*(1+MYP!$K$9)</f>
        <v>0</v>
      </c>
      <c r="G59" s="39">
        <f>+'FY23'!G59*(1+MYP!$K$9)</f>
        <v>0</v>
      </c>
      <c r="H59" s="39">
        <f>+'FY23'!H59*(1+MYP!$K$9)</f>
        <v>0</v>
      </c>
      <c r="I59" s="39">
        <f>+'FY23'!I59*(1+MYP!$K$9)</f>
        <v>0</v>
      </c>
      <c r="J59" s="39">
        <f>+'FY23'!J59*(1+MYP!$K$9)</f>
        <v>0</v>
      </c>
      <c r="K59" s="39">
        <f>+'FY23'!K59*(1+MYP!$K$9)</f>
        <v>0</v>
      </c>
      <c r="L59" s="39">
        <f>+'FY23'!L59*(1+MYP!$K$9)</f>
        <v>0</v>
      </c>
      <c r="M59" s="39">
        <f>+'FY23'!M59*(1+MYP!$K$9)</f>
        <v>0</v>
      </c>
      <c r="N59" s="39">
        <f>+'FY23'!N59*(1+MYP!$K$9)</f>
        <v>0</v>
      </c>
      <c r="O59" s="39">
        <f>+'FY23'!O59*(1+MYP!$K$9)</f>
        <v>0</v>
      </c>
      <c r="P59" s="39">
        <f>+'FY23'!P59*(1+MYP!$K$9)</f>
        <v>0</v>
      </c>
      <c r="Q59" s="36"/>
      <c r="R59" s="41"/>
      <c r="S59" s="59">
        <f t="shared" si="17"/>
        <v>0</v>
      </c>
      <c r="T59" s="41"/>
      <c r="U59" s="39">
        <f>'FY23'!S59</f>
        <v>0</v>
      </c>
      <c r="V59" s="39">
        <f t="shared" si="18"/>
        <v>0</v>
      </c>
      <c r="W59" s="39"/>
    </row>
    <row r="60" spans="3:23" s="37" customFormat="1" ht="12" x14ac:dyDescent="0.2">
      <c r="C60" s="199">
        <v>6284</v>
      </c>
      <c r="D60" s="37" t="s">
        <v>194</v>
      </c>
      <c r="E60" s="39">
        <f>+'FY23'!E60*(1+MYP!$K$9)</f>
        <v>1719.15696</v>
      </c>
      <c r="F60" s="39">
        <f>+'FY23'!F60*(1+MYP!$K$9)</f>
        <v>1719.15696</v>
      </c>
      <c r="G60" s="39">
        <f>+'FY23'!G60*(1+MYP!$K$9)</f>
        <v>1719.15696</v>
      </c>
      <c r="H60" s="39">
        <f>+'FY23'!H60*(1+MYP!$K$9)</f>
        <v>1719.15696</v>
      </c>
      <c r="I60" s="39">
        <f>+'FY23'!I60*(1+MYP!$K$9)</f>
        <v>1719.15696</v>
      </c>
      <c r="J60" s="39">
        <f>+'FY23'!J60*(1+MYP!$K$9)</f>
        <v>1719.15696</v>
      </c>
      <c r="K60" s="39">
        <f>+'FY23'!K60*(1+MYP!$K$9)</f>
        <v>1719.15696</v>
      </c>
      <c r="L60" s="39">
        <f>+'FY23'!L60*(1+MYP!$K$9)</f>
        <v>1719.15696</v>
      </c>
      <c r="M60" s="39">
        <f>+'FY23'!M60*(1+MYP!$K$9)</f>
        <v>1719.15696</v>
      </c>
      <c r="N60" s="39">
        <f>+'FY23'!N60*(1+MYP!$K$9)</f>
        <v>1719.15696</v>
      </c>
      <c r="O60" s="39">
        <f>+'FY23'!O60*(1+MYP!$K$9)</f>
        <v>1719.15696</v>
      </c>
      <c r="P60" s="39">
        <f>+'FY23'!P60*(1+MYP!$K$9)</f>
        <v>1719.15696</v>
      </c>
      <c r="Q60" s="98"/>
      <c r="R60" s="41"/>
      <c r="S60" s="59">
        <f t="shared" si="17"/>
        <v>20629.883519999999</v>
      </c>
      <c r="T60" s="41"/>
      <c r="U60" s="39">
        <f>'FY23'!S60</f>
        <v>20225.376</v>
      </c>
      <c r="V60" s="39">
        <f t="shared" si="18"/>
        <v>-404.5075199999992</v>
      </c>
      <c r="W60" s="39"/>
    </row>
    <row r="61" spans="3:23" s="37" customFormat="1" ht="12" x14ac:dyDescent="0.2">
      <c r="C61" s="199">
        <v>6287</v>
      </c>
      <c r="D61" s="37" t="s">
        <v>227</v>
      </c>
      <c r="E61" s="39">
        <f>+'FY23'!E61*(1+MYP!$K$9)</f>
        <v>3875.2819200000004</v>
      </c>
      <c r="F61" s="39">
        <f>+'FY23'!F61*(1+MYP!$K$9)</f>
        <v>3875.2819200000004</v>
      </c>
      <c r="G61" s="39">
        <f>+'FY23'!G61*(1+MYP!$K$9)</f>
        <v>3875.2819200000004</v>
      </c>
      <c r="H61" s="39">
        <f>+'FY23'!H61*(1+MYP!$K$9)</f>
        <v>3875.2819200000004</v>
      </c>
      <c r="I61" s="39">
        <f>+'FY23'!I61*(1+MYP!$K$9)</f>
        <v>3875.2819200000004</v>
      </c>
      <c r="J61" s="39">
        <f>+'FY23'!J61*(1+MYP!$K$9)</f>
        <v>3875.2819200000004</v>
      </c>
      <c r="K61" s="39">
        <f>+'FY23'!K61*(1+MYP!$K$9)</f>
        <v>3875.2819200000004</v>
      </c>
      <c r="L61" s="39">
        <f>+'FY23'!L61*(1+MYP!$K$9)</f>
        <v>3875.2819200000004</v>
      </c>
      <c r="M61" s="39">
        <f>+'FY23'!M61*(1+MYP!$K$9)</f>
        <v>3875.2819200000004</v>
      </c>
      <c r="N61" s="39">
        <f>+'FY23'!N61*(1+MYP!$K$9)</f>
        <v>3875.2819200000004</v>
      </c>
      <c r="O61" s="39">
        <f>+'FY23'!O61*(1+MYP!$K$9)</f>
        <v>3875.2819200000004</v>
      </c>
      <c r="P61" s="39">
        <f>+'FY23'!P61*(1+MYP!$K$9)</f>
        <v>3875.2819200000004</v>
      </c>
      <c r="Q61" s="98"/>
      <c r="R61" s="41"/>
      <c r="S61" s="59">
        <f t="shared" si="17"/>
        <v>46503.383040000008</v>
      </c>
      <c r="T61" s="41"/>
      <c r="U61" s="39">
        <f>'FY23'!S61</f>
        <v>45591.552000000018</v>
      </c>
      <c r="V61" s="39">
        <f t="shared" si="18"/>
        <v>-911.83103999999003</v>
      </c>
      <c r="W61" s="39"/>
    </row>
    <row r="62" spans="3:23" s="37" customFormat="1" ht="12" x14ac:dyDescent="0.2">
      <c r="C62" s="38"/>
      <c r="E62" s="50">
        <f t="shared" ref="E62:P62" si="19">SUBTOTAL(9,E43:E61)</f>
        <v>31688.230380425943</v>
      </c>
      <c r="F62" s="50">
        <f t="shared" si="19"/>
        <v>31755.627700505942</v>
      </c>
      <c r="G62" s="50">
        <f t="shared" si="19"/>
        <v>31766.799037121946</v>
      </c>
      <c r="H62" s="50">
        <f t="shared" si="19"/>
        <v>31813.577085761943</v>
      </c>
      <c r="I62" s="50">
        <f t="shared" si="19"/>
        <v>31791.265187561945</v>
      </c>
      <c r="J62" s="50">
        <f t="shared" si="19"/>
        <v>31769.261039681944</v>
      </c>
      <c r="K62" s="50">
        <f t="shared" si="19"/>
        <v>31810.807332881945</v>
      </c>
      <c r="L62" s="50">
        <f t="shared" si="19"/>
        <v>31767.876163241941</v>
      </c>
      <c r="M62" s="50">
        <f t="shared" si="19"/>
        <v>31797.574069121943</v>
      </c>
      <c r="N62" s="50">
        <f t="shared" si="19"/>
        <v>31823.732846321946</v>
      </c>
      <c r="O62" s="50">
        <f t="shared" si="19"/>
        <v>31823.794396385943</v>
      </c>
      <c r="P62" s="50">
        <f t="shared" si="19"/>
        <v>32065.224522425942</v>
      </c>
      <c r="Q62" s="99"/>
      <c r="R62" s="41"/>
      <c r="S62" s="61">
        <f>SUBTOTAL(9,S43:S61)</f>
        <v>381673.76976143918</v>
      </c>
      <c r="T62" s="41"/>
      <c r="U62" s="50">
        <f>SUBTOTAL(9,U43:U61)</f>
        <v>374189.9703543522</v>
      </c>
      <c r="V62" s="50">
        <f>SUBTOTAL(9,V43:V61)</f>
        <v>-7483.7994070870445</v>
      </c>
      <c r="W62" s="39"/>
    </row>
    <row r="63" spans="3:23" s="37" customFormat="1" ht="12" x14ac:dyDescent="0.2">
      <c r="C63" s="49" t="s">
        <v>9</v>
      </c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100"/>
      <c r="R63" s="41"/>
      <c r="S63" s="59"/>
      <c r="T63" s="41"/>
      <c r="U63" s="39"/>
      <c r="V63" s="39"/>
      <c r="W63" s="39"/>
    </row>
    <row r="64" spans="3:23" s="37" customFormat="1" ht="12" x14ac:dyDescent="0.2">
      <c r="C64" s="199">
        <v>6300</v>
      </c>
      <c r="D64" s="37" t="s">
        <v>9</v>
      </c>
      <c r="E64" s="39">
        <f>+'FY23'!E64*(1+MYP!$K$10)</f>
        <v>3183.6240000000003</v>
      </c>
      <c r="F64" s="39">
        <f>+'FY23'!F64*(1+MYP!$K$10)</f>
        <v>8054.5687200000002</v>
      </c>
      <c r="G64" s="39">
        <f>+'FY23'!G64*(1+MYP!$K$10)</f>
        <v>8590.47876</v>
      </c>
      <c r="H64" s="39">
        <f>+'FY23'!H64*(1+MYP!$K$10)</f>
        <v>8903.5351200000005</v>
      </c>
      <c r="I64" s="39">
        <f>+'FY23'!I64*(1+MYP!$K$10)</f>
        <v>4870.9447200000004</v>
      </c>
      <c r="J64" s="39">
        <f>+'FY23'!J64*(1+MYP!$K$10)</f>
        <v>3958.30584</v>
      </c>
      <c r="K64" s="39">
        <f>+'FY23'!K64*(1+MYP!$K$10)</f>
        <v>4828.4964</v>
      </c>
      <c r="L64" s="39">
        <f>+'FY23'!L64*(1+MYP!$K$10)</f>
        <v>4000.75416</v>
      </c>
      <c r="M64" s="39">
        <f>+'FY23'!M64*(1+MYP!$K$10)</f>
        <v>2069.3555999999999</v>
      </c>
      <c r="N64" s="39">
        <f>+'FY23'!N64*(1+MYP!$K$10)</f>
        <v>2865.2615999999998</v>
      </c>
      <c r="O64" s="39">
        <f>+'FY23'!O64*(1+MYP!$K$10)</f>
        <v>2122.4160000000002</v>
      </c>
      <c r="P64" s="39">
        <f>+'FY23'!P64*(1+MYP!$K$10)</f>
        <v>2387.7180000000003</v>
      </c>
      <c r="Q64" s="100"/>
      <c r="R64" s="41"/>
      <c r="S64" s="59">
        <f t="shared" ref="S64:S73" si="20">SUM(E64:Q64)</f>
        <v>55835.458920000005</v>
      </c>
      <c r="T64" s="41"/>
      <c r="U64" s="39">
        <f>'FY23'!S64</f>
        <v>54740.646000000008</v>
      </c>
      <c r="V64" s="39">
        <f t="shared" ref="V64:V73" si="21">U64-S64</f>
        <v>-1094.8129199999967</v>
      </c>
      <c r="W64" s="39"/>
    </row>
    <row r="65" spans="3:23" s="37" customFormat="1" ht="12" x14ac:dyDescent="0.2">
      <c r="C65" s="199">
        <v>6320</v>
      </c>
      <c r="D65" s="37" t="s">
        <v>10</v>
      </c>
      <c r="E65" s="39">
        <f>+'FY23'!E65*(1+MYP!$K$10)</f>
        <v>0</v>
      </c>
      <c r="F65" s="39">
        <f>+'FY23'!F65*(1+MYP!$K$10)</f>
        <v>0</v>
      </c>
      <c r="G65" s="39">
        <f>+'FY23'!G65*(1+MYP!$K$10)</f>
        <v>14007.945600000001</v>
      </c>
      <c r="H65" s="39">
        <f>+'FY23'!H65*(1+MYP!$K$10)</f>
        <v>265.30200000000002</v>
      </c>
      <c r="I65" s="39">
        <f>+'FY23'!I65*(1+MYP!$K$10)</f>
        <v>0</v>
      </c>
      <c r="J65" s="39">
        <f>+'FY23'!J65*(1+MYP!$K$10)</f>
        <v>0</v>
      </c>
      <c r="K65" s="39">
        <f>+'FY23'!K65*(1+MYP!$K$10)</f>
        <v>12734.496000000001</v>
      </c>
      <c r="L65" s="39">
        <f>+'FY23'!L65*(1+MYP!$K$10)</f>
        <v>318.36240000000004</v>
      </c>
      <c r="M65" s="39">
        <f>+'FY23'!M65*(1+MYP!$K$10)</f>
        <v>132.65100000000001</v>
      </c>
      <c r="N65" s="39">
        <f>+'FY23'!N65*(1+MYP!$K$10)</f>
        <v>12734.496000000001</v>
      </c>
      <c r="O65" s="39">
        <f>+'FY23'!O65*(1+MYP!$K$10)</f>
        <v>0</v>
      </c>
      <c r="P65" s="39">
        <f>+'FY23'!P65*(1+MYP!$K$10)</f>
        <v>12734.496000000001</v>
      </c>
      <c r="Q65" s="100"/>
      <c r="R65" s="41"/>
      <c r="S65" s="59">
        <f t="shared" si="20"/>
        <v>52927.749000000003</v>
      </c>
      <c r="T65" s="41"/>
      <c r="U65" s="39">
        <f>'FY23'!S65</f>
        <v>51889.950000000004</v>
      </c>
      <c r="V65" s="39">
        <f t="shared" si="21"/>
        <v>-1037.7989999999991</v>
      </c>
      <c r="W65" s="39"/>
    </row>
    <row r="66" spans="3:23" s="37" customFormat="1" ht="12" x14ac:dyDescent="0.2">
      <c r="C66" s="199">
        <v>6331</v>
      </c>
      <c r="D66" s="37" t="s">
        <v>11</v>
      </c>
      <c r="E66" s="39">
        <f>+'FY23'!E66*(1+MYP!$K$10)</f>
        <v>0</v>
      </c>
      <c r="F66" s="39">
        <f>+'FY23'!F66*(1+MYP!$K$10)</f>
        <v>2122.4160000000002</v>
      </c>
      <c r="G66" s="39">
        <f>+'FY23'!G66*(1+MYP!$K$10)</f>
        <v>0</v>
      </c>
      <c r="H66" s="39">
        <f>+'FY23'!H66*(1+MYP!$K$10)</f>
        <v>0</v>
      </c>
      <c r="I66" s="39">
        <f>+'FY23'!I66*(1+MYP!$K$10)</f>
        <v>0</v>
      </c>
      <c r="J66" s="39">
        <f>+'FY23'!J66*(1+MYP!$K$10)</f>
        <v>0</v>
      </c>
      <c r="K66" s="39">
        <f>+'FY23'!K66*(1+MYP!$K$10)</f>
        <v>0</v>
      </c>
      <c r="L66" s="39">
        <f>+'FY23'!L66*(1+MYP!$K$10)</f>
        <v>0</v>
      </c>
      <c r="M66" s="39">
        <f>+'FY23'!M66*(1+MYP!$K$10)</f>
        <v>0</v>
      </c>
      <c r="N66" s="39">
        <f>+'FY23'!N66*(1+MYP!$K$10)</f>
        <v>0</v>
      </c>
      <c r="O66" s="39">
        <f>+'FY23'!O66*(1+MYP!$K$10)</f>
        <v>0</v>
      </c>
      <c r="P66" s="39">
        <f>+'FY23'!P66*(1+MYP!$K$10)</f>
        <v>0</v>
      </c>
      <c r="Q66" s="100"/>
      <c r="R66" s="41"/>
      <c r="S66" s="59">
        <f t="shared" si="20"/>
        <v>2122.4160000000002</v>
      </c>
      <c r="T66" s="41"/>
      <c r="U66" s="39">
        <f>'FY23'!S66</f>
        <v>2080.8000000000002</v>
      </c>
      <c r="V66" s="39">
        <f t="shared" si="21"/>
        <v>-41.615999999999985</v>
      </c>
      <c r="W66" s="39"/>
    </row>
    <row r="67" spans="3:23" s="37" customFormat="1" ht="12" x14ac:dyDescent="0.2">
      <c r="C67" s="199">
        <v>6334</v>
      </c>
      <c r="D67" s="37" t="s">
        <v>12</v>
      </c>
      <c r="E67" s="39">
        <f>+'FY23'!E67*(1+MYP!$K$10)</f>
        <v>657.94896000000006</v>
      </c>
      <c r="F67" s="39">
        <f>+'FY23'!F67*(1+MYP!$K$10)</f>
        <v>4741.4773439999999</v>
      </c>
      <c r="G67" s="39">
        <f>+'FY23'!G67*(1+MYP!$K$10)</f>
        <v>1506.9153600000002</v>
      </c>
      <c r="H67" s="39">
        <f>+'FY23'!H67*(1+MYP!$K$10)</f>
        <v>2143.6401600000004</v>
      </c>
      <c r="I67" s="39">
        <f>+'FY23'!I67*(1+MYP!$K$10)</f>
        <v>657.94896000000006</v>
      </c>
      <c r="J67" s="39">
        <f>+'FY23'!J67*(1+MYP!$K$10)</f>
        <v>1108.96236</v>
      </c>
      <c r="K67" s="39">
        <f>+'FY23'!K67*(1+MYP!$K$10)</f>
        <v>1082.4321600000001</v>
      </c>
      <c r="L67" s="39">
        <f>+'FY23'!L67*(1+MYP!$K$10)</f>
        <v>1719.15696</v>
      </c>
      <c r="M67" s="39">
        <f>+'FY23'!M67*(1+MYP!$K$10)</f>
        <v>657.94896000000006</v>
      </c>
      <c r="N67" s="39">
        <f>+'FY23'!N67*(1+MYP!$K$10)</f>
        <v>1082.4321600000001</v>
      </c>
      <c r="O67" s="39">
        <f>+'FY23'!O67*(1+MYP!$K$10)</f>
        <v>657.94896000000006</v>
      </c>
      <c r="P67" s="39">
        <f>+'FY23'!P67*(1+MYP!$K$10)</f>
        <v>657.94896000000006</v>
      </c>
      <c r="Q67" s="100"/>
      <c r="R67" s="41"/>
      <c r="S67" s="59">
        <f t="shared" si="20"/>
        <v>16674.761304</v>
      </c>
      <c r="T67" s="41"/>
      <c r="U67" s="39">
        <f>'FY23'!S67</f>
        <v>16347.805200000006</v>
      </c>
      <c r="V67" s="39">
        <f t="shared" si="21"/>
        <v>-326.9561039999935</v>
      </c>
      <c r="W67" s="39"/>
    </row>
    <row r="68" spans="3:23" s="37" customFormat="1" ht="12" x14ac:dyDescent="0.2">
      <c r="C68" s="199">
        <v>6336</v>
      </c>
      <c r="D68" s="37" t="s">
        <v>13</v>
      </c>
      <c r="E68" s="39">
        <f>+'FY23'!E68*(1+MYP!$K$10)</f>
        <v>26.530200000000001</v>
      </c>
      <c r="F68" s="39">
        <f>+'FY23'!F68*(1+MYP!$K$10)</f>
        <v>2573.4294000000004</v>
      </c>
      <c r="G68" s="39">
        <f>+'FY23'!G68*(1+MYP!$K$10)</f>
        <v>451.01340000000005</v>
      </c>
      <c r="H68" s="39">
        <f>+'FY23'!H68*(1+MYP!$K$10)</f>
        <v>2414.2482</v>
      </c>
      <c r="I68" s="39">
        <f>+'FY23'!I68*(1+MYP!$K$10)</f>
        <v>26.530200000000001</v>
      </c>
      <c r="J68" s="39">
        <f>+'FY23'!J68*(1+MYP!$K$10)</f>
        <v>567.74628000000007</v>
      </c>
      <c r="K68" s="39">
        <f>+'FY23'!K68*(1+MYP!$K$10)</f>
        <v>26.530200000000001</v>
      </c>
      <c r="L68" s="39">
        <f>+'FY23'!L68*(1+MYP!$K$10)</f>
        <v>2414.2482</v>
      </c>
      <c r="M68" s="39">
        <f>+'FY23'!M68*(1+MYP!$K$10)</f>
        <v>26.530200000000001</v>
      </c>
      <c r="N68" s="39">
        <f>+'FY23'!N68*(1+MYP!$K$10)</f>
        <v>26.530200000000001</v>
      </c>
      <c r="O68" s="39">
        <f>+'FY23'!O68*(1+MYP!$K$10)</f>
        <v>26.530200000000001</v>
      </c>
      <c r="P68" s="39">
        <f>+'FY23'!P68*(1+MYP!$K$10)</f>
        <v>26.530200000000001</v>
      </c>
      <c r="Q68" s="100"/>
      <c r="R68" s="41"/>
      <c r="S68" s="59">
        <f t="shared" si="20"/>
        <v>8606.3968799999984</v>
      </c>
      <c r="T68" s="41"/>
      <c r="U68" s="39">
        <f>'FY23'!S68</f>
        <v>8437.6440000000021</v>
      </c>
      <c r="V68" s="39">
        <f t="shared" si="21"/>
        <v>-168.75287999999637</v>
      </c>
      <c r="W68" s="39"/>
    </row>
    <row r="69" spans="3:23" s="37" customFormat="1" ht="12" x14ac:dyDescent="0.2">
      <c r="C69" s="199">
        <v>6337</v>
      </c>
      <c r="D69" s="37" t="s">
        <v>14</v>
      </c>
      <c r="E69" s="39">
        <f>+'FY23'!E69*(1+MYP!$K$10)</f>
        <v>26.530200000000001</v>
      </c>
      <c r="F69" s="39">
        <f>+'FY23'!F69*(1+MYP!$K$10)</f>
        <v>2573.4294000000004</v>
      </c>
      <c r="G69" s="39">
        <f>+'FY23'!G69*(1+MYP!$K$10)</f>
        <v>451.01340000000005</v>
      </c>
      <c r="H69" s="39">
        <f>+'FY23'!H69*(1+MYP!$K$10)</f>
        <v>2414.2482</v>
      </c>
      <c r="I69" s="39">
        <f>+'FY23'!I69*(1+MYP!$K$10)</f>
        <v>26.530200000000001</v>
      </c>
      <c r="J69" s="39">
        <f>+'FY23'!J69*(1+MYP!$K$10)</f>
        <v>567.74628000000007</v>
      </c>
      <c r="K69" s="39">
        <f>+'FY23'!K69*(1+MYP!$K$10)</f>
        <v>26.530200000000001</v>
      </c>
      <c r="L69" s="39">
        <f>+'FY23'!L69*(1+MYP!$K$10)</f>
        <v>2414.2482</v>
      </c>
      <c r="M69" s="39">
        <f>+'FY23'!M69*(1+MYP!$K$10)</f>
        <v>26.530200000000001</v>
      </c>
      <c r="N69" s="39">
        <f>+'FY23'!N69*(1+MYP!$K$10)</f>
        <v>26.530200000000001</v>
      </c>
      <c r="O69" s="39">
        <f>+'FY23'!O69*(1+MYP!$K$10)</f>
        <v>26.530200000000001</v>
      </c>
      <c r="P69" s="39">
        <f>+'FY23'!P69*(1+MYP!$K$10)</f>
        <v>26.530200000000001</v>
      </c>
      <c r="Q69" s="100"/>
      <c r="R69" s="41"/>
      <c r="S69" s="59">
        <f t="shared" si="20"/>
        <v>8606.3968799999984</v>
      </c>
      <c r="T69" s="41"/>
      <c r="U69" s="39">
        <f>'FY23'!S69</f>
        <v>8437.6440000000021</v>
      </c>
      <c r="V69" s="39">
        <f t="shared" si="21"/>
        <v>-168.75287999999637</v>
      </c>
      <c r="W69" s="39"/>
    </row>
    <row r="70" spans="3:23" s="37" customFormat="1" ht="12" x14ac:dyDescent="0.2">
      <c r="C70" s="199">
        <v>6340</v>
      </c>
      <c r="D70" s="37" t="s">
        <v>15</v>
      </c>
      <c r="E70" s="39">
        <f>+'FY23'!E70*(1+MYP!$K$10)</f>
        <v>106.1208</v>
      </c>
      <c r="F70" s="39">
        <f>+'FY23'!F70*(1+MYP!$K$10)</f>
        <v>6738.6707999999999</v>
      </c>
      <c r="G70" s="39">
        <f>+'FY23'!G70*(1+MYP!$K$10)</f>
        <v>3926.4695999999999</v>
      </c>
      <c r="H70" s="39">
        <f>+'FY23'!H70*(1+MYP!$K$10)</f>
        <v>28493.434800000003</v>
      </c>
      <c r="I70" s="39">
        <f>+'FY23'!I70*(1+MYP!$K$10)</f>
        <v>2016.2952</v>
      </c>
      <c r="J70" s="39">
        <f>+'FY23'!J70*(1+MYP!$K$10)</f>
        <v>106.1208</v>
      </c>
      <c r="K70" s="39">
        <f>+'FY23'!K70*(1+MYP!$K$10)</f>
        <v>7640.6976000000004</v>
      </c>
      <c r="L70" s="39">
        <f>+'FY23'!L70*(1+MYP!$K$10)</f>
        <v>2535.4806019199996</v>
      </c>
      <c r="M70" s="39">
        <f>+'FY23'!M70*(1+MYP!$K$10)</f>
        <v>106.1208</v>
      </c>
      <c r="N70" s="39">
        <f>+'FY23'!N70*(1+MYP!$K$10)</f>
        <v>902.02680000000009</v>
      </c>
      <c r="O70" s="39">
        <f>+'FY23'!O70*(1+MYP!$K$10)</f>
        <v>2706.0803999999998</v>
      </c>
      <c r="P70" s="39">
        <f>+'FY23'!P70*(1+MYP!$K$10)</f>
        <v>11063.0934</v>
      </c>
      <c r="Q70" s="100"/>
      <c r="R70" s="41"/>
      <c r="S70" s="59">
        <f t="shared" si="20"/>
        <v>66340.611601919998</v>
      </c>
      <c r="T70" s="41"/>
      <c r="U70" s="39">
        <f>'FY23'!S70</f>
        <v>65039.815295999993</v>
      </c>
      <c r="V70" s="39">
        <f t="shared" si="21"/>
        <v>-1300.7963059200047</v>
      </c>
      <c r="W70" s="39"/>
    </row>
    <row r="71" spans="3:23" s="37" customFormat="1" ht="12" x14ac:dyDescent="0.2">
      <c r="C71" s="199">
        <v>6345</v>
      </c>
      <c r="D71" s="37" t="s">
        <v>16</v>
      </c>
      <c r="E71" s="39">
        <f>+'FY23'!E71*(1+MYP!$K$10)</f>
        <v>1724.4630000000002</v>
      </c>
      <c r="F71" s="39">
        <f>+'FY23'!F71*(1+MYP!$K$10)</f>
        <v>1724.4630000000002</v>
      </c>
      <c r="G71" s="39">
        <f>+'FY23'!G71*(1+MYP!$K$10)</f>
        <v>4271.3621999999996</v>
      </c>
      <c r="H71" s="39">
        <f>+'FY23'!H71*(1+MYP!$K$10)</f>
        <v>1724.4630000000002</v>
      </c>
      <c r="I71" s="39">
        <f>+'FY23'!I71*(1+MYP!$K$10)</f>
        <v>1724.4630000000002</v>
      </c>
      <c r="J71" s="39">
        <f>+'FY23'!J71*(1+MYP!$K$10)</f>
        <v>1724.4630000000002</v>
      </c>
      <c r="K71" s="39">
        <f>+'FY23'!K71*(1+MYP!$K$10)</f>
        <v>1724.4630000000002</v>
      </c>
      <c r="L71" s="39">
        <f>+'FY23'!L71*(1+MYP!$K$10)</f>
        <v>1724.4630000000002</v>
      </c>
      <c r="M71" s="39">
        <f>+'FY23'!M71*(1+MYP!$K$10)</f>
        <v>1724.4630000000002</v>
      </c>
      <c r="N71" s="39">
        <f>+'FY23'!N71*(1+MYP!$K$10)</f>
        <v>1724.4630000000002</v>
      </c>
      <c r="O71" s="39">
        <f>+'FY23'!O71*(1+MYP!$K$10)</f>
        <v>1724.4630000000002</v>
      </c>
      <c r="P71" s="39">
        <f>+'FY23'!P71*(1+MYP!$K$10)</f>
        <v>1724.4630000000002</v>
      </c>
      <c r="Q71" s="100"/>
      <c r="R71" s="41"/>
      <c r="S71" s="59">
        <f t="shared" si="20"/>
        <v>23240.4552</v>
      </c>
      <c r="T71" s="41"/>
      <c r="U71" s="39">
        <f>'FY23'!S71</f>
        <v>22784.760000000002</v>
      </c>
      <c r="V71" s="39">
        <f t="shared" si="21"/>
        <v>-455.69519999999829</v>
      </c>
      <c r="W71" s="39"/>
    </row>
    <row r="72" spans="3:23" s="37" customFormat="1" ht="12" x14ac:dyDescent="0.2">
      <c r="C72" s="199">
        <v>6350</v>
      </c>
      <c r="D72" s="37" t="s">
        <v>17</v>
      </c>
      <c r="E72" s="39">
        <f>+'FY23'!E72*(1+MYP!$K$10)</f>
        <v>106.1208</v>
      </c>
      <c r="F72" s="39">
        <f>+'FY23'!F72*(1+MYP!$K$10)</f>
        <v>106.1208</v>
      </c>
      <c r="G72" s="39">
        <f>+'FY23'!G72*(1+MYP!$K$10)</f>
        <v>902.02680000000009</v>
      </c>
      <c r="H72" s="39">
        <f>+'FY23'!H72*(1+MYP!$K$10)</f>
        <v>1432.6307999999999</v>
      </c>
      <c r="I72" s="39">
        <f>+'FY23'!I72*(1+MYP!$K$10)</f>
        <v>902.02680000000009</v>
      </c>
      <c r="J72" s="39">
        <f>+'FY23'!J72*(1+MYP!$K$10)</f>
        <v>106.1208</v>
      </c>
      <c r="K72" s="39">
        <f>+'FY23'!K72*(1+MYP!$K$10)</f>
        <v>636.72480000000007</v>
      </c>
      <c r="L72" s="39">
        <f>+'FY23'!L72*(1+MYP!$K$10)</f>
        <v>1167.3288</v>
      </c>
      <c r="M72" s="39">
        <f>+'FY23'!M72*(1+MYP!$K$10)</f>
        <v>636.72480000000007</v>
      </c>
      <c r="N72" s="39">
        <f>+'FY23'!N72*(1+MYP!$K$10)</f>
        <v>106.1208</v>
      </c>
      <c r="O72" s="39">
        <f>+'FY23'!O72*(1+MYP!$K$10)</f>
        <v>371.4228</v>
      </c>
      <c r="P72" s="39">
        <f>+'FY23'!P72*(1+MYP!$K$10)</f>
        <v>106.1208</v>
      </c>
      <c r="Q72" s="100"/>
      <c r="R72" s="41"/>
      <c r="S72" s="59">
        <f t="shared" si="20"/>
        <v>6579.4895999999999</v>
      </c>
      <c r="T72" s="41"/>
      <c r="U72" s="39">
        <f>'FY23'!S72</f>
        <v>6450.4800000000005</v>
      </c>
      <c r="V72" s="39">
        <f t="shared" si="21"/>
        <v>-129.00959999999941</v>
      </c>
      <c r="W72" s="39"/>
    </row>
    <row r="73" spans="3:23" s="37" customFormat="1" ht="12" x14ac:dyDescent="0.2">
      <c r="C73" s="199">
        <v>6351</v>
      </c>
      <c r="D73" s="37" t="s">
        <v>18</v>
      </c>
      <c r="E73" s="39">
        <f>+'FY23'!E73*(1+MYP!$K$10)</f>
        <v>0</v>
      </c>
      <c r="F73" s="39">
        <f>+'FY23'!F73*(1+MYP!$K$10)</f>
        <v>0</v>
      </c>
      <c r="G73" s="39">
        <f>+'FY23'!G73*(1+MYP!$K$10)</f>
        <v>0</v>
      </c>
      <c r="H73" s="39">
        <f>+'FY23'!H73*(1+MYP!$K$10)</f>
        <v>25423.105366079999</v>
      </c>
      <c r="I73" s="39">
        <f>+'FY23'!I73*(1+MYP!$K$10)</f>
        <v>898.03665792000004</v>
      </c>
      <c r="J73" s="39">
        <f>+'FY23'!J73*(1+MYP!$K$10)</f>
        <v>0</v>
      </c>
      <c r="K73" s="39">
        <f>+'FY23'!K73*(1+MYP!$K$10)</f>
        <v>0</v>
      </c>
      <c r="L73" s="39">
        <f>+'FY23'!L73*(1+MYP!$K$10)</f>
        <v>3094.4825280000005</v>
      </c>
      <c r="M73" s="39">
        <f>+'FY23'!M73*(1+MYP!$K$10)</f>
        <v>0</v>
      </c>
      <c r="N73" s="39">
        <f>+'FY23'!N73*(1+MYP!$K$10)</f>
        <v>10505.959200000001</v>
      </c>
      <c r="O73" s="39">
        <f>+'FY23'!O73*(1+MYP!$K$10)</f>
        <v>0</v>
      </c>
      <c r="P73" s="39">
        <f>+'FY23'!P73*(1+MYP!$K$10)</f>
        <v>0</v>
      </c>
      <c r="Q73" s="100"/>
      <c r="R73" s="41"/>
      <c r="S73" s="59">
        <f t="shared" si="20"/>
        <v>39921.583752000006</v>
      </c>
      <c r="T73" s="41"/>
      <c r="U73" s="39">
        <f>'FY23'!S73</f>
        <v>39138.8076</v>
      </c>
      <c r="V73" s="39">
        <f t="shared" si="21"/>
        <v>-782.77615200000582</v>
      </c>
      <c r="W73" s="39"/>
    </row>
    <row r="74" spans="3:23" s="37" customFormat="1" ht="12" x14ac:dyDescent="0.2">
      <c r="C74" s="38"/>
      <c r="E74" s="50">
        <f>SUBTOTAL(9,E64:E73)</f>
        <v>5831.3379600000007</v>
      </c>
      <c r="F74" s="50">
        <f t="shared" ref="F74:V74" si="22">SUBTOTAL(9,F64:F73)</f>
        <v>28634.575464000001</v>
      </c>
      <c r="G74" s="50">
        <f t="shared" si="22"/>
        <v>34107.225119999996</v>
      </c>
      <c r="H74" s="50">
        <f t="shared" si="22"/>
        <v>73214.60764608001</v>
      </c>
      <c r="I74" s="50">
        <f t="shared" si="22"/>
        <v>11122.775737919999</v>
      </c>
      <c r="J74" s="50">
        <f t="shared" si="22"/>
        <v>8139.4653600000011</v>
      </c>
      <c r="K74" s="50">
        <f t="shared" si="22"/>
        <v>28700.370360000004</v>
      </c>
      <c r="L74" s="50">
        <f t="shared" si="22"/>
        <v>19388.524849919999</v>
      </c>
      <c r="M74" s="50">
        <f t="shared" si="22"/>
        <v>5380.3245600000009</v>
      </c>
      <c r="N74" s="50">
        <f t="shared" si="22"/>
        <v>29973.819960000004</v>
      </c>
      <c r="O74" s="50">
        <f t="shared" si="22"/>
        <v>7635.39156</v>
      </c>
      <c r="P74" s="50">
        <f t="shared" si="22"/>
        <v>28726.900560000002</v>
      </c>
      <c r="Q74" s="99"/>
      <c r="R74" s="41"/>
      <c r="S74" s="61">
        <f t="shared" si="22"/>
        <v>280855.31913791999</v>
      </c>
      <c r="T74" s="41"/>
      <c r="U74" s="50">
        <f t="shared" si="22"/>
        <v>275348.35209600005</v>
      </c>
      <c r="V74" s="50">
        <f t="shared" si="22"/>
        <v>-5506.9670419199902</v>
      </c>
      <c r="W74" s="39"/>
    </row>
    <row r="75" spans="3:23" s="37" customFormat="1" ht="12" x14ac:dyDescent="0.2">
      <c r="C75" s="49" t="s">
        <v>100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100"/>
      <c r="R75" s="41"/>
      <c r="S75" s="59"/>
      <c r="T75" s="41"/>
      <c r="U75" s="39"/>
      <c r="V75" s="39"/>
      <c r="W75" s="39"/>
    </row>
    <row r="76" spans="3:23" s="37" customFormat="1" ht="12" x14ac:dyDescent="0.2">
      <c r="C76" s="199">
        <v>6410</v>
      </c>
      <c r="D76" s="37" t="s">
        <v>19</v>
      </c>
      <c r="E76" s="39">
        <f>+'FY23'!E76*(1+MYP!$K$10)</f>
        <v>0</v>
      </c>
      <c r="F76" s="39">
        <f>+'FY23'!F76*(1+MYP!$K$10)</f>
        <v>0</v>
      </c>
      <c r="G76" s="39">
        <f>+'FY23'!G76*(1+MYP!$K$10)</f>
        <v>0</v>
      </c>
      <c r="H76" s="39">
        <f>+'FY23'!H76*(1+MYP!$K$10)</f>
        <v>0</v>
      </c>
      <c r="I76" s="39">
        <f>+'FY23'!I76*(1+MYP!$K$10)</f>
        <v>0</v>
      </c>
      <c r="J76" s="39">
        <f>+'FY23'!J76*(1+MYP!$K$10)</f>
        <v>0</v>
      </c>
      <c r="K76" s="39">
        <f>+'FY23'!K76*(1+MYP!$K$10)</f>
        <v>0</v>
      </c>
      <c r="L76" s="39">
        <f>+'FY23'!L76*(1+MYP!$K$10)</f>
        <v>0</v>
      </c>
      <c r="M76" s="39">
        <f>+'FY23'!M76*(1+MYP!$K$10)</f>
        <v>0</v>
      </c>
      <c r="N76" s="39">
        <f>+'FY23'!N76*(1+MYP!$K$10)</f>
        <v>0</v>
      </c>
      <c r="O76" s="39">
        <f>+'FY23'!O76*(1+MYP!$K$10)</f>
        <v>0</v>
      </c>
      <c r="P76" s="39">
        <f>+'FY23'!P76*(1+MYP!$K$10)</f>
        <v>0</v>
      </c>
      <c r="Q76" s="100"/>
      <c r="R76" s="41"/>
      <c r="S76" s="59">
        <f t="shared" ref="S76:S79" si="23">SUM(E76:Q76)</f>
        <v>0</v>
      </c>
      <c r="T76" s="41"/>
      <c r="U76" s="39">
        <f>'FY23'!S76</f>
        <v>0</v>
      </c>
      <c r="V76" s="39">
        <f t="shared" ref="V76:V79" si="24">U76-S76</f>
        <v>0</v>
      </c>
      <c r="W76" s="39"/>
    </row>
    <row r="77" spans="3:23" s="37" customFormat="1" ht="12" x14ac:dyDescent="0.2">
      <c r="C77" s="199">
        <v>6420</v>
      </c>
      <c r="D77" s="37" t="s">
        <v>20</v>
      </c>
      <c r="E77" s="39">
        <f>+'FY23'!E77*(1+MYP!$K$10)</f>
        <v>642.03084000000001</v>
      </c>
      <c r="F77" s="39">
        <f>+'FY23'!F77*(1+MYP!$K$10)</f>
        <v>424.48320000000001</v>
      </c>
      <c r="G77" s="39">
        <f>+'FY23'!G77*(1+MYP!$K$10)</f>
        <v>424.48320000000001</v>
      </c>
      <c r="H77" s="39">
        <f>+'FY23'!H77*(1+MYP!$K$10)</f>
        <v>642.03084000000001</v>
      </c>
      <c r="I77" s="39">
        <f>+'FY23'!I77*(1+MYP!$K$10)</f>
        <v>424.48320000000001</v>
      </c>
      <c r="J77" s="39">
        <f>+'FY23'!J77*(1+MYP!$K$10)</f>
        <v>424.48320000000001</v>
      </c>
      <c r="K77" s="39">
        <f>+'FY23'!K77*(1+MYP!$K$10)</f>
        <v>642.03084000000001</v>
      </c>
      <c r="L77" s="39">
        <f>+'FY23'!L77*(1+MYP!$K$10)</f>
        <v>424.48320000000001</v>
      </c>
      <c r="M77" s="39">
        <f>+'FY23'!M77*(1+MYP!$K$10)</f>
        <v>424.48320000000001</v>
      </c>
      <c r="N77" s="39">
        <f>+'FY23'!N77*(1+MYP!$K$10)</f>
        <v>424.48320000000001</v>
      </c>
      <c r="O77" s="39">
        <f>+'FY23'!O77*(1+MYP!$K$10)</f>
        <v>642.03084000000001</v>
      </c>
      <c r="P77" s="39">
        <f>+'FY23'!P77*(1+MYP!$K$10)</f>
        <v>424.48320000000001</v>
      </c>
      <c r="Q77" s="100"/>
      <c r="R77" s="41"/>
      <c r="S77" s="59">
        <f t="shared" si="23"/>
        <v>5963.9889599999997</v>
      </c>
      <c r="T77" s="41"/>
      <c r="U77" s="39">
        <f>'FY23'!S77</f>
        <v>5847.0479999999998</v>
      </c>
      <c r="V77" s="39">
        <f t="shared" si="24"/>
        <v>-116.9409599999999</v>
      </c>
      <c r="W77" s="39"/>
    </row>
    <row r="78" spans="3:23" s="37" customFormat="1" ht="12" x14ac:dyDescent="0.2">
      <c r="C78" s="199">
        <v>6430</v>
      </c>
      <c r="D78" s="37" t="s">
        <v>21</v>
      </c>
      <c r="E78" s="39">
        <f>+'FY23'!E78*(1+MYP!$K$10)</f>
        <v>0</v>
      </c>
      <c r="F78" s="39">
        <f>+'FY23'!F78*(1+MYP!$K$10)</f>
        <v>0</v>
      </c>
      <c r="G78" s="39">
        <f>+'FY23'!G78*(1+MYP!$K$10)</f>
        <v>159.18120000000002</v>
      </c>
      <c r="H78" s="39">
        <f>+'FY23'!H78*(1+MYP!$K$10)</f>
        <v>159.18120000000002</v>
      </c>
      <c r="I78" s="39">
        <f>+'FY23'!I78*(1+MYP!$K$10)</f>
        <v>0</v>
      </c>
      <c r="J78" s="39">
        <f>+'FY23'!J78*(1+MYP!$K$10)</f>
        <v>0</v>
      </c>
      <c r="K78" s="39">
        <f>+'FY23'!K78*(1+MYP!$K$10)</f>
        <v>0</v>
      </c>
      <c r="L78" s="39">
        <f>+'FY23'!L78*(1+MYP!$K$10)</f>
        <v>0</v>
      </c>
      <c r="M78" s="39">
        <f>+'FY23'!M78*(1+MYP!$K$10)</f>
        <v>159.18120000000002</v>
      </c>
      <c r="N78" s="39">
        <f>+'FY23'!N78*(1+MYP!$K$10)</f>
        <v>159.18120000000002</v>
      </c>
      <c r="O78" s="39">
        <f>+'FY23'!O78*(1+MYP!$K$10)</f>
        <v>0</v>
      </c>
      <c r="P78" s="39">
        <f>+'FY23'!P78*(1+MYP!$K$10)</f>
        <v>0</v>
      </c>
      <c r="Q78" s="100"/>
      <c r="R78" s="41"/>
      <c r="S78" s="59">
        <f t="shared" si="23"/>
        <v>636.72480000000007</v>
      </c>
      <c r="T78" s="41"/>
      <c r="U78" s="39">
        <f>'FY23'!S78</f>
        <v>624.24</v>
      </c>
      <c r="V78" s="39">
        <f t="shared" si="24"/>
        <v>-12.484800000000064</v>
      </c>
      <c r="W78" s="39"/>
    </row>
    <row r="79" spans="3:23" s="37" customFormat="1" ht="12" x14ac:dyDescent="0.2">
      <c r="C79" s="199">
        <v>6441</v>
      </c>
      <c r="D79" s="37" t="s">
        <v>22</v>
      </c>
      <c r="E79" s="39">
        <f>+'FY23'!E79*(1+MYP!$K$10)</f>
        <v>5532.0773040000004</v>
      </c>
      <c r="F79" s="39">
        <f>+'FY23'!F79*(1+MYP!$K$10)</f>
        <v>24315.458904000003</v>
      </c>
      <c r="G79" s="39">
        <f>+'FY23'!G79*(1+MYP!$K$10)</f>
        <v>8450.3993040000005</v>
      </c>
      <c r="H79" s="39">
        <f>+'FY23'!H79*(1+MYP!$K$10)</f>
        <v>8450.3993040000005</v>
      </c>
      <c r="I79" s="39">
        <f>+'FY23'!I79*(1+MYP!$K$10)</f>
        <v>8450.3993040000005</v>
      </c>
      <c r="J79" s="39">
        <f>+'FY23'!J79*(1+MYP!$K$10)</f>
        <v>5532.0773040000004</v>
      </c>
      <c r="K79" s="39">
        <f>+'FY23'!K79*(1+MYP!$K$10)</f>
        <v>9776.9093040000007</v>
      </c>
      <c r="L79" s="39">
        <f>+'FY23'!L79*(1+MYP!$K$10)</f>
        <v>8450.3993040000005</v>
      </c>
      <c r="M79" s="39">
        <f>+'FY23'!M79*(1+MYP!$K$10)</f>
        <v>8450.3993040000005</v>
      </c>
      <c r="N79" s="39">
        <f>+'FY23'!N79*(1+MYP!$K$10)</f>
        <v>11634.023304000002</v>
      </c>
      <c r="O79" s="39">
        <f>+'FY23'!O79*(1+MYP!$K$10)</f>
        <v>5532.0773040000004</v>
      </c>
      <c r="P79" s="39">
        <f>+'FY23'!P79*(1+MYP!$K$10)</f>
        <v>5532.0773040000004</v>
      </c>
      <c r="Q79" s="100"/>
      <c r="R79" s="41"/>
      <c r="S79" s="59">
        <f t="shared" si="23"/>
        <v>110106.69724800003</v>
      </c>
      <c r="T79" s="41"/>
      <c r="U79" s="39">
        <f>'FY23'!S79</f>
        <v>107947.74240000002</v>
      </c>
      <c r="V79" s="39">
        <f t="shared" si="24"/>
        <v>-2158.9548480000085</v>
      </c>
      <c r="W79" s="39"/>
    </row>
    <row r="80" spans="3:23" s="37" customFormat="1" ht="12" x14ac:dyDescent="0.2">
      <c r="C80" s="38"/>
      <c r="E80" s="50">
        <f>SUBTOTAL(9,E76:E79)</f>
        <v>6174.1081440000007</v>
      </c>
      <c r="F80" s="50">
        <f t="shared" ref="F80:V80" si="25">SUBTOTAL(9,F76:F79)</f>
        <v>24739.942104000002</v>
      </c>
      <c r="G80" s="50">
        <f t="shared" si="25"/>
        <v>9034.0637040000001</v>
      </c>
      <c r="H80" s="50">
        <f t="shared" si="25"/>
        <v>9251.6113440000008</v>
      </c>
      <c r="I80" s="50">
        <f t="shared" si="25"/>
        <v>8874.8825040000011</v>
      </c>
      <c r="J80" s="50">
        <f t="shared" si="25"/>
        <v>5956.560504</v>
      </c>
      <c r="K80" s="50">
        <f t="shared" si="25"/>
        <v>10418.940144</v>
      </c>
      <c r="L80" s="50">
        <f t="shared" si="25"/>
        <v>8874.8825040000011</v>
      </c>
      <c r="M80" s="50">
        <f t="shared" si="25"/>
        <v>9034.0637040000001</v>
      </c>
      <c r="N80" s="50">
        <f t="shared" si="25"/>
        <v>12217.687704000002</v>
      </c>
      <c r="O80" s="50">
        <f t="shared" si="25"/>
        <v>6174.1081440000007</v>
      </c>
      <c r="P80" s="50">
        <f t="shared" si="25"/>
        <v>5956.560504</v>
      </c>
      <c r="Q80" s="99"/>
      <c r="R80" s="41"/>
      <c r="S80" s="61">
        <f t="shared" si="25"/>
        <v>116707.41100800002</v>
      </c>
      <c r="T80" s="41"/>
      <c r="U80" s="50">
        <f t="shared" si="25"/>
        <v>114419.03040000002</v>
      </c>
      <c r="V80" s="50">
        <f t="shared" si="25"/>
        <v>-2288.3806080000086</v>
      </c>
      <c r="W80" s="39"/>
    </row>
    <row r="81" spans="3:23" s="37" customFormat="1" ht="12" x14ac:dyDescent="0.2">
      <c r="C81" s="49" t="s">
        <v>101</v>
      </c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100"/>
      <c r="R81" s="41"/>
      <c r="S81" s="59"/>
      <c r="T81" s="41"/>
      <c r="U81" s="39"/>
      <c r="V81" s="39"/>
      <c r="W81" s="39"/>
    </row>
    <row r="82" spans="3:23" s="37" customFormat="1" ht="12" x14ac:dyDescent="0.2">
      <c r="C82" s="199">
        <v>6519</v>
      </c>
      <c r="D82" s="37" t="s">
        <v>234</v>
      </c>
      <c r="E82" s="39">
        <f>+'FY23'!E82*(1+MYP!$K$10)</f>
        <v>0</v>
      </c>
      <c r="F82" s="39">
        <f>+'FY23'!F82*(1+MYP!$K$10)</f>
        <v>0</v>
      </c>
      <c r="G82" s="39">
        <f>+'FY23'!G82*(1+MYP!$K$10)</f>
        <v>0</v>
      </c>
      <c r="H82" s="39">
        <f>+'FY23'!H82*(1+MYP!$K$10)</f>
        <v>0</v>
      </c>
      <c r="I82" s="39">
        <f>+'FY23'!I82*(1+MYP!$K$10)</f>
        <v>0</v>
      </c>
      <c r="J82" s="39">
        <f>+'FY23'!J82*(1+MYP!$K$10)</f>
        <v>0</v>
      </c>
      <c r="K82" s="39">
        <f>+'FY23'!K82*(1+MYP!$K$10)</f>
        <v>0</v>
      </c>
      <c r="L82" s="39">
        <f>+'FY23'!L82*(1+MYP!$K$10)</f>
        <v>0</v>
      </c>
      <c r="M82" s="39">
        <f>+'FY23'!M82*(1+MYP!$K$10)</f>
        <v>0</v>
      </c>
      <c r="N82" s="39">
        <f>+'FY23'!N82*(1+MYP!$K$10)</f>
        <v>0</v>
      </c>
      <c r="O82" s="39">
        <f>+'FY23'!O82*(1+MYP!$K$10)</f>
        <v>0</v>
      </c>
      <c r="P82" s="39">
        <f>+'FY23'!P82*(1+MYP!$K$10)</f>
        <v>0</v>
      </c>
      <c r="Q82" s="100"/>
      <c r="R82" s="41"/>
      <c r="S82" s="59">
        <f t="shared" ref="S82:S93" si="26">SUM(E82:Q82)</f>
        <v>0</v>
      </c>
      <c r="T82" s="41"/>
      <c r="U82" s="39">
        <f>'FY23'!S82</f>
        <v>0</v>
      </c>
      <c r="V82" s="39">
        <f t="shared" ref="V82:V93" si="27">U82-S82</f>
        <v>0</v>
      </c>
      <c r="W82" s="39"/>
    </row>
    <row r="83" spans="3:23" s="37" customFormat="1" ht="12" x14ac:dyDescent="0.2">
      <c r="C83" s="199">
        <v>6521</v>
      </c>
      <c r="D83" s="37" t="s">
        <v>24</v>
      </c>
      <c r="E83" s="39">
        <f>+'FY23'!E83*(1+MYP!$K$10)</f>
        <v>157.41252000000003</v>
      </c>
      <c r="F83" s="39">
        <f>+'FY23'!F83*(1+MYP!$K$10)</f>
        <v>157.41252000000003</v>
      </c>
      <c r="G83" s="39">
        <f>+'FY23'!G83*(1+MYP!$K$10)</f>
        <v>157.41252000000003</v>
      </c>
      <c r="H83" s="39">
        <f>+'FY23'!H83*(1+MYP!$K$10)</f>
        <v>157.41252000000003</v>
      </c>
      <c r="I83" s="39">
        <f>+'FY23'!I83*(1+MYP!$K$10)</f>
        <v>157.41252000000003</v>
      </c>
      <c r="J83" s="39">
        <f>+'FY23'!J83*(1+MYP!$K$10)</f>
        <v>157.41252000000003</v>
      </c>
      <c r="K83" s="39">
        <f>+'FY23'!K83*(1+MYP!$K$10)</f>
        <v>157.41252000000003</v>
      </c>
      <c r="L83" s="39">
        <f>+'FY23'!L83*(1+MYP!$K$10)</f>
        <v>157.41252000000003</v>
      </c>
      <c r="M83" s="39">
        <f>+'FY23'!M83*(1+MYP!$K$10)</f>
        <v>157.41252000000003</v>
      </c>
      <c r="N83" s="39">
        <f>+'FY23'!N83*(1+MYP!$K$10)</f>
        <v>157.41252000000003</v>
      </c>
      <c r="O83" s="39">
        <f>+'FY23'!O83*(1+MYP!$K$10)</f>
        <v>157.41252000000003</v>
      </c>
      <c r="P83" s="39">
        <f>+'FY23'!P83*(1+MYP!$K$10)</f>
        <v>157.41252000000003</v>
      </c>
      <c r="Q83" s="100"/>
      <c r="R83" s="41"/>
      <c r="S83" s="59">
        <f t="shared" si="26"/>
        <v>1888.9502400000008</v>
      </c>
      <c r="T83" s="41"/>
      <c r="U83" s="39">
        <f>'FY23'!S83</f>
        <v>1851.9120000000003</v>
      </c>
      <c r="V83" s="39">
        <f t="shared" si="27"/>
        <v>-37.038240000000542</v>
      </c>
      <c r="W83" s="39"/>
    </row>
    <row r="84" spans="3:23" s="37" customFormat="1" ht="12" x14ac:dyDescent="0.2">
      <c r="C84" s="199">
        <v>6522</v>
      </c>
      <c r="D84" s="37" t="s">
        <v>25</v>
      </c>
      <c r="E84" s="39">
        <f>+'FY23'!E84*(1+MYP!$K$10)</f>
        <v>2667.7884779999999</v>
      </c>
      <c r="F84" s="39">
        <f>+'FY23'!F84*(1+MYP!$K$10)</f>
        <v>2667.7884779999999</v>
      </c>
      <c r="G84" s="39">
        <f>+'FY23'!G84*(1+MYP!$K$10)</f>
        <v>2667.7884779999999</v>
      </c>
      <c r="H84" s="39">
        <f>+'FY23'!H84*(1+MYP!$K$10)</f>
        <v>2667.7884779999999</v>
      </c>
      <c r="I84" s="39">
        <f>+'FY23'!I84*(1+MYP!$K$10)</f>
        <v>2667.7884779999999</v>
      </c>
      <c r="J84" s="39">
        <f>+'FY23'!J84*(1+MYP!$K$10)</f>
        <v>2667.7884779999999</v>
      </c>
      <c r="K84" s="39">
        <f>+'FY23'!K84*(1+MYP!$K$10)</f>
        <v>2667.7884779999999</v>
      </c>
      <c r="L84" s="39">
        <f>+'FY23'!L84*(1+MYP!$K$10)</f>
        <v>2667.7884779999999</v>
      </c>
      <c r="M84" s="39">
        <f>+'FY23'!M84*(1+MYP!$K$10)</f>
        <v>2667.7884779999999</v>
      </c>
      <c r="N84" s="39">
        <f>+'FY23'!N84*(1+MYP!$K$10)</f>
        <v>2667.7884779999999</v>
      </c>
      <c r="O84" s="39">
        <f>+'FY23'!O84*(1+MYP!$K$10)</f>
        <v>2667.7884779999999</v>
      </c>
      <c r="P84" s="39">
        <f>+'FY23'!P84*(1+MYP!$K$10)</f>
        <v>2667.7884779999999</v>
      </c>
      <c r="Q84" s="100"/>
      <c r="R84" s="41"/>
      <c r="S84" s="59">
        <f t="shared" si="26"/>
        <v>32013.461735999994</v>
      </c>
      <c r="T84" s="41"/>
      <c r="U84" s="39">
        <f>'FY23'!S84</f>
        <v>31385.746800000008</v>
      </c>
      <c r="V84" s="39">
        <f t="shared" si="27"/>
        <v>-627.71493599998576</v>
      </c>
      <c r="W84" s="39"/>
    </row>
    <row r="85" spans="3:23" s="37" customFormat="1" ht="12" x14ac:dyDescent="0.2">
      <c r="C85" s="199">
        <v>6523</v>
      </c>
      <c r="D85" s="37" t="s">
        <v>26</v>
      </c>
      <c r="E85" s="39">
        <f>+'FY23'!E85*(1+MYP!$K$10)</f>
        <v>1273.0958639999997</v>
      </c>
      <c r="F85" s="39">
        <f>+'FY23'!F85*(1+MYP!$K$10)</f>
        <v>1273.0958639999997</v>
      </c>
      <c r="G85" s="39">
        <f>+'FY23'!G85*(1+MYP!$K$10)</f>
        <v>1273.0958639999997</v>
      </c>
      <c r="H85" s="39">
        <f>+'FY23'!H85*(1+MYP!$K$10)</f>
        <v>1273.0958639999997</v>
      </c>
      <c r="I85" s="39">
        <f>+'FY23'!I85*(1+MYP!$K$10)</f>
        <v>1273.0958639999997</v>
      </c>
      <c r="J85" s="39">
        <f>+'FY23'!J85*(1+MYP!$K$10)</f>
        <v>1273.0958639999997</v>
      </c>
      <c r="K85" s="39">
        <f>+'FY23'!K85*(1+MYP!$K$10)</f>
        <v>1273.0958639999997</v>
      </c>
      <c r="L85" s="39">
        <f>+'FY23'!L85*(1+MYP!$K$10)</f>
        <v>1273.0958639999997</v>
      </c>
      <c r="M85" s="39">
        <f>+'FY23'!M85*(1+MYP!$K$10)</f>
        <v>1273.0958639999997</v>
      </c>
      <c r="N85" s="39">
        <f>+'FY23'!N85*(1+MYP!$K$10)</f>
        <v>1273.0958639999997</v>
      </c>
      <c r="O85" s="39">
        <f>+'FY23'!O85*(1+MYP!$K$10)</f>
        <v>1273.0958639999997</v>
      </c>
      <c r="P85" s="39">
        <f>+'FY23'!P85*(1+MYP!$K$10)</f>
        <v>1273.0958639999997</v>
      </c>
      <c r="Q85" s="100"/>
      <c r="R85" s="41"/>
      <c r="S85" s="59">
        <f t="shared" si="26"/>
        <v>15277.150367999993</v>
      </c>
      <c r="T85" s="41"/>
      <c r="U85" s="39">
        <f>'FY23'!S85</f>
        <v>14977.598400000001</v>
      </c>
      <c r="V85" s="39">
        <f t="shared" si="27"/>
        <v>-299.55196799999248</v>
      </c>
      <c r="W85" s="39"/>
    </row>
    <row r="86" spans="3:23" s="37" customFormat="1" ht="12" x14ac:dyDescent="0.2">
      <c r="C86" s="199">
        <v>6531</v>
      </c>
      <c r="D86" s="37" t="s">
        <v>27</v>
      </c>
      <c r="E86" s="39">
        <f>+'FY23'!E86*(1+MYP!$K$10)</f>
        <v>145.38549600000002</v>
      </c>
      <c r="F86" s="39">
        <f>+'FY23'!F86*(1+MYP!$K$10)</f>
        <v>145.38549600000002</v>
      </c>
      <c r="G86" s="39">
        <f>+'FY23'!G86*(1+MYP!$K$10)</f>
        <v>145.38549600000002</v>
      </c>
      <c r="H86" s="39">
        <f>+'FY23'!H86*(1+MYP!$K$10)</f>
        <v>145.38549600000002</v>
      </c>
      <c r="I86" s="39">
        <f>+'FY23'!I86*(1+MYP!$K$10)</f>
        <v>145.38549600000002</v>
      </c>
      <c r="J86" s="39">
        <f>+'FY23'!J86*(1+MYP!$K$10)</f>
        <v>145.38549600000002</v>
      </c>
      <c r="K86" s="39">
        <f>+'FY23'!K86*(1+MYP!$K$10)</f>
        <v>145.38549600000002</v>
      </c>
      <c r="L86" s="39">
        <f>+'FY23'!L86*(1+MYP!$K$10)</f>
        <v>145.38549600000002</v>
      </c>
      <c r="M86" s="39">
        <f>+'FY23'!M86*(1+MYP!$K$10)</f>
        <v>145.38549600000002</v>
      </c>
      <c r="N86" s="39">
        <f>+'FY23'!N86*(1+MYP!$K$10)</f>
        <v>145.38549600000002</v>
      </c>
      <c r="O86" s="39">
        <f>+'FY23'!O86*(1+MYP!$K$10)</f>
        <v>145.38549600000002</v>
      </c>
      <c r="P86" s="39">
        <f>+'FY23'!P86*(1+MYP!$K$10)</f>
        <v>4262.8725359999999</v>
      </c>
      <c r="Q86" s="100"/>
      <c r="R86" s="41"/>
      <c r="S86" s="59">
        <f t="shared" si="26"/>
        <v>5862.1129920000003</v>
      </c>
      <c r="T86" s="41"/>
      <c r="U86" s="39">
        <f>'FY23'!S86</f>
        <v>5747.1695999999993</v>
      </c>
      <c r="V86" s="39">
        <f t="shared" si="27"/>
        <v>-114.94339200000104</v>
      </c>
      <c r="W86" s="39"/>
    </row>
    <row r="87" spans="3:23" s="37" customFormat="1" ht="12" x14ac:dyDescent="0.2">
      <c r="C87" s="199">
        <v>6534</v>
      </c>
      <c r="D87" s="37" t="s">
        <v>28</v>
      </c>
      <c r="E87" s="39">
        <f>+'FY23'!E87*(1+MYP!$K$10)</f>
        <v>286.52615999999995</v>
      </c>
      <c r="F87" s="39">
        <f>+'FY23'!F87*(1+MYP!$K$10)</f>
        <v>286.52615999999995</v>
      </c>
      <c r="G87" s="39">
        <f>+'FY23'!G87*(1+MYP!$K$10)</f>
        <v>286.52615999999995</v>
      </c>
      <c r="H87" s="39">
        <f>+'FY23'!H87*(1+MYP!$K$10)</f>
        <v>286.52615999999995</v>
      </c>
      <c r="I87" s="39">
        <f>+'FY23'!I87*(1+MYP!$K$10)</f>
        <v>286.52615999999995</v>
      </c>
      <c r="J87" s="39">
        <f>+'FY23'!J87*(1+MYP!$K$10)</f>
        <v>286.52615999999995</v>
      </c>
      <c r="K87" s="39">
        <f>+'FY23'!K87*(1+MYP!$K$10)</f>
        <v>286.52615999999995</v>
      </c>
      <c r="L87" s="39">
        <f>+'FY23'!L87*(1+MYP!$K$10)</f>
        <v>286.52615999999995</v>
      </c>
      <c r="M87" s="39">
        <f>+'FY23'!M87*(1+MYP!$K$10)</f>
        <v>286.52615999999995</v>
      </c>
      <c r="N87" s="39">
        <f>+'FY23'!N87*(1+MYP!$K$10)</f>
        <v>286.52615999999995</v>
      </c>
      <c r="O87" s="39">
        <f>+'FY23'!O87*(1+MYP!$K$10)</f>
        <v>286.52615999999995</v>
      </c>
      <c r="P87" s="39">
        <f>+'FY23'!P87*(1+MYP!$K$10)</f>
        <v>286.52615999999995</v>
      </c>
      <c r="Q87" s="100"/>
      <c r="R87" s="41"/>
      <c r="S87" s="59">
        <f t="shared" si="26"/>
        <v>3438.3139199999991</v>
      </c>
      <c r="T87" s="41"/>
      <c r="U87" s="39">
        <f>'FY23'!S87</f>
        <v>3370.8959999999993</v>
      </c>
      <c r="V87" s="39">
        <f t="shared" si="27"/>
        <v>-67.417919999999867</v>
      </c>
      <c r="W87" s="39"/>
    </row>
    <row r="88" spans="3:23" s="37" customFormat="1" ht="12" x14ac:dyDescent="0.2">
      <c r="C88" s="199">
        <v>6535</v>
      </c>
      <c r="D88" s="37" t="s">
        <v>235</v>
      </c>
      <c r="E88" s="39">
        <f>+'FY23'!E88*(1+MYP!$K$10)</f>
        <v>4684.5753710399995</v>
      </c>
      <c r="F88" s="39">
        <f>+'FY23'!F88*(1+MYP!$K$10)</f>
        <v>4684.5753710399995</v>
      </c>
      <c r="G88" s="39">
        <f>+'FY23'!G88*(1+MYP!$K$10)</f>
        <v>4684.5753710399995</v>
      </c>
      <c r="H88" s="39">
        <f>+'FY23'!H88*(1+MYP!$K$10)</f>
        <v>4684.5753710399995</v>
      </c>
      <c r="I88" s="39">
        <f>+'FY23'!I88*(1+MYP!$K$10)</f>
        <v>4684.5753710399995</v>
      </c>
      <c r="J88" s="39">
        <f>+'FY23'!J88*(1+MYP!$K$10)</f>
        <v>4684.5753710399995</v>
      </c>
      <c r="K88" s="39">
        <f>+'FY23'!K88*(1+MYP!$K$10)</f>
        <v>4684.5753710399995</v>
      </c>
      <c r="L88" s="39">
        <f>+'FY23'!L88*(1+MYP!$K$10)</f>
        <v>4684.5753710399995</v>
      </c>
      <c r="M88" s="39">
        <f>+'FY23'!M88*(1+MYP!$K$10)</f>
        <v>4684.5753710399995</v>
      </c>
      <c r="N88" s="39">
        <f>+'FY23'!N88*(1+MYP!$K$10)</f>
        <v>4684.5753710399995</v>
      </c>
      <c r="O88" s="39">
        <f>+'FY23'!O88*(1+MYP!$K$10)</f>
        <v>4684.5753710399995</v>
      </c>
      <c r="P88" s="39">
        <f>+'FY23'!P88*(1+MYP!$K$10)</f>
        <v>4684.5753710399995</v>
      </c>
      <c r="Q88" s="100"/>
      <c r="R88" s="41"/>
      <c r="S88" s="59">
        <f t="shared" si="26"/>
        <v>56214.904452480005</v>
      </c>
      <c r="T88" s="41"/>
      <c r="U88" s="39">
        <f>'FY23'!S88</f>
        <v>55112.651424000011</v>
      </c>
      <c r="V88" s="39">
        <f t="shared" si="27"/>
        <v>-1102.2530284799941</v>
      </c>
      <c r="W88" s="39"/>
    </row>
    <row r="89" spans="3:23" s="37" customFormat="1" ht="12" x14ac:dyDescent="0.2">
      <c r="C89" s="199">
        <v>6540</v>
      </c>
      <c r="D89" s="37" t="s">
        <v>30</v>
      </c>
      <c r="E89" s="39">
        <f>+'FY23'!E89*(1+MYP!$K$10)</f>
        <v>848.96640000000002</v>
      </c>
      <c r="F89" s="39">
        <f>+'FY23'!F89*(1+MYP!$K$10)</f>
        <v>530.60400000000004</v>
      </c>
      <c r="G89" s="39">
        <f>+'FY23'!G89*(1+MYP!$K$10)</f>
        <v>2290.8403216799998</v>
      </c>
      <c r="H89" s="39">
        <f>+'FY23'!H89*(1+MYP!$K$10)</f>
        <v>1326.51</v>
      </c>
      <c r="I89" s="39">
        <f>+'FY23'!I89*(1+MYP!$K$10)</f>
        <v>14220.1872</v>
      </c>
      <c r="J89" s="39">
        <f>+'FY23'!J89*(1+MYP!$K$10)</f>
        <v>10665.1404</v>
      </c>
      <c r="K89" s="39">
        <f>+'FY23'!K89*(1+MYP!$K$10)</f>
        <v>848.96640000000002</v>
      </c>
      <c r="L89" s="39">
        <f>+'FY23'!L89*(1+MYP!$K$10)</f>
        <v>12946.7376</v>
      </c>
      <c r="M89" s="39">
        <f>+'FY23'!M89*(1+MYP!$K$10)</f>
        <v>2653.02</v>
      </c>
      <c r="N89" s="39">
        <f>+'FY23'!N89*(1+MYP!$K$10)</f>
        <v>15016.093199999999</v>
      </c>
      <c r="O89" s="39">
        <f>+'FY23'!O89*(1+MYP!$K$10)</f>
        <v>1485.6912</v>
      </c>
      <c r="P89" s="39">
        <f>+'FY23'!P89*(1+MYP!$K$10)</f>
        <v>1326.51</v>
      </c>
      <c r="Q89" s="100"/>
      <c r="R89" s="41"/>
      <c r="S89" s="59">
        <f t="shared" si="26"/>
        <v>64159.266721679996</v>
      </c>
      <c r="T89" s="41"/>
      <c r="U89" s="39">
        <f>'FY23'!S89</f>
        <v>62901.241884000003</v>
      </c>
      <c r="V89" s="39">
        <f t="shared" si="27"/>
        <v>-1258.0248376799937</v>
      </c>
      <c r="W89" s="39"/>
    </row>
    <row r="90" spans="3:23" s="37" customFormat="1" ht="12" x14ac:dyDescent="0.2">
      <c r="C90" s="199">
        <v>6550</v>
      </c>
      <c r="D90" s="37" t="s">
        <v>31</v>
      </c>
      <c r="E90" s="39">
        <f>+'FY23'!E90*(1+MYP!$K$10)</f>
        <v>0</v>
      </c>
      <c r="F90" s="39">
        <f>+'FY23'!F90*(1+MYP!$K$10)</f>
        <v>0</v>
      </c>
      <c r="G90" s="39">
        <f>+'FY23'!G90*(1+MYP!$K$10)</f>
        <v>659.77423776000001</v>
      </c>
      <c r="H90" s="39">
        <f>+'FY23'!H90*(1+MYP!$K$10)</f>
        <v>0</v>
      </c>
      <c r="I90" s="39">
        <f>+'FY23'!I90*(1+MYP!$K$10)</f>
        <v>0</v>
      </c>
      <c r="J90" s="39">
        <f>+'FY23'!J90*(1+MYP!$K$10)</f>
        <v>0</v>
      </c>
      <c r="K90" s="39">
        <f>+'FY23'!K90*(1+MYP!$K$10)</f>
        <v>0</v>
      </c>
      <c r="L90" s="39">
        <f>+'FY23'!L90*(1+MYP!$K$10)</f>
        <v>0</v>
      </c>
      <c r="M90" s="39">
        <f>+'FY23'!M90*(1+MYP!$K$10)</f>
        <v>0</v>
      </c>
      <c r="N90" s="39">
        <f>+'FY23'!N90*(1+MYP!$K$10)</f>
        <v>0</v>
      </c>
      <c r="O90" s="39">
        <f>+'FY23'!O90*(1+MYP!$K$10)</f>
        <v>0</v>
      </c>
      <c r="P90" s="39">
        <f>+'FY23'!P90*(1+MYP!$K$10)</f>
        <v>0</v>
      </c>
      <c r="Q90" s="100"/>
      <c r="R90" s="41"/>
      <c r="S90" s="59">
        <f t="shared" si="26"/>
        <v>659.77423776000001</v>
      </c>
      <c r="T90" s="41"/>
      <c r="U90" s="39">
        <f>'FY23'!S90</f>
        <v>646.83748800000001</v>
      </c>
      <c r="V90" s="39">
        <f t="shared" si="27"/>
        <v>-12.936749759999998</v>
      </c>
      <c r="W90" s="39"/>
    </row>
    <row r="91" spans="3:23" s="37" customFormat="1" ht="12" x14ac:dyDescent="0.2">
      <c r="C91" s="206">
        <v>6568</v>
      </c>
      <c r="D91" s="37" t="s">
        <v>186</v>
      </c>
      <c r="E91" s="39">
        <f>+'FY23'!E91*(1+MYP!$K$10)</f>
        <v>0</v>
      </c>
      <c r="F91" s="39">
        <f>+'FY23'!F91*(1+MYP!$K$10)</f>
        <v>0</v>
      </c>
      <c r="G91" s="39">
        <f>+'FY23'!G91*(1+MYP!$K$10)</f>
        <v>0</v>
      </c>
      <c r="H91" s="39">
        <f>+'FY23'!H91*(1+MYP!$K$10)</f>
        <v>0</v>
      </c>
      <c r="I91" s="39">
        <f>+'FY23'!I91*(1+MYP!$K$10)</f>
        <v>0</v>
      </c>
      <c r="J91" s="39">
        <f>+'FY23'!J91*(1+MYP!$K$10)</f>
        <v>0</v>
      </c>
      <c r="K91" s="39">
        <f>+'FY23'!K91*(1+MYP!$K$10)</f>
        <v>0</v>
      </c>
      <c r="L91" s="39">
        <f>+'FY23'!L91*(1+MYP!$K$10)</f>
        <v>0</v>
      </c>
      <c r="M91" s="39">
        <f>+'FY23'!M91*(1+MYP!$K$10)</f>
        <v>0</v>
      </c>
      <c r="N91" s="39">
        <f>+'FY23'!N91*(1+MYP!$K$10)</f>
        <v>0</v>
      </c>
      <c r="O91" s="39">
        <f>+'FY23'!O91*(1+MYP!$K$10)</f>
        <v>0</v>
      </c>
      <c r="P91" s="39">
        <f>+'FY23'!P91*(1+MYP!$K$10)</f>
        <v>0</v>
      </c>
      <c r="Q91" s="100"/>
      <c r="R91" s="41"/>
      <c r="S91" s="59">
        <f t="shared" ref="S91" si="28">SUM(E91:Q91)</f>
        <v>0</v>
      </c>
      <c r="T91" s="41"/>
      <c r="U91" s="39">
        <f>'FY23'!S91</f>
        <v>0</v>
      </c>
      <c r="V91" s="39">
        <f t="shared" ref="V91" si="29">U91-S91</f>
        <v>0</v>
      </c>
      <c r="W91" s="39"/>
    </row>
    <row r="92" spans="3:23" s="37" customFormat="1" ht="12" x14ac:dyDescent="0.2">
      <c r="C92" s="199">
        <v>6569</v>
      </c>
      <c r="D92" s="37" t="s">
        <v>32</v>
      </c>
      <c r="E92" s="39">
        <f>+'FY23'!E92*(1+MYP!$K$10)</f>
        <v>0</v>
      </c>
      <c r="F92" s="39">
        <f>+'FY23'!F92*(1+MYP!$K$10)</f>
        <v>0</v>
      </c>
      <c r="G92" s="39">
        <f>+'FY23'!G92*(1+MYP!$K$10)</f>
        <v>0</v>
      </c>
      <c r="H92" s="39">
        <f>+'FY23'!H92*(1+MYP!$K$10)</f>
        <v>0</v>
      </c>
      <c r="I92" s="39">
        <f>+'FY23'!I92*(1+MYP!$K$10)</f>
        <v>0</v>
      </c>
      <c r="J92" s="39">
        <f>+'FY23'!J92*(1+MYP!$K$10)</f>
        <v>0</v>
      </c>
      <c r="K92" s="39">
        <f>+'FY23'!K92*(1+MYP!$K$10)</f>
        <v>0</v>
      </c>
      <c r="L92" s="39">
        <f>+'FY23'!L92*(1+MYP!$K$10)</f>
        <v>0</v>
      </c>
      <c r="M92" s="39">
        <f>+'FY23'!M92*(1+MYP!$K$10)</f>
        <v>0</v>
      </c>
      <c r="N92" s="39">
        <f>+'FY23'!N92*(1+MYP!$K$10)</f>
        <v>0</v>
      </c>
      <c r="O92" s="39">
        <f>+'FY23'!O92*(1+MYP!$K$10)</f>
        <v>0</v>
      </c>
      <c r="P92" s="39">
        <f>+'FY23'!P92*(1+MYP!$K$10)</f>
        <v>0</v>
      </c>
      <c r="Q92" s="100"/>
      <c r="R92" s="41"/>
      <c r="S92" s="59">
        <f t="shared" si="26"/>
        <v>0</v>
      </c>
      <c r="T92" s="41"/>
      <c r="U92" s="39">
        <f>'FY23'!S92</f>
        <v>0</v>
      </c>
      <c r="V92" s="39">
        <f t="shared" si="27"/>
        <v>0</v>
      </c>
      <c r="W92" s="39"/>
    </row>
    <row r="93" spans="3:23" s="37" customFormat="1" ht="12" x14ac:dyDescent="0.2">
      <c r="C93" s="199">
        <v>6580</v>
      </c>
      <c r="D93" s="37" t="s">
        <v>33</v>
      </c>
      <c r="E93" s="39">
        <f>+'FY23'!E93*(1+MYP!$K$10)</f>
        <v>1273.4496000000001</v>
      </c>
      <c r="F93" s="39">
        <f>+'FY23'!F93*(1+MYP!$K$10)</f>
        <v>2122.4160000000002</v>
      </c>
      <c r="G93" s="39">
        <f>+'FY23'!G93*(1+MYP!$K$10)</f>
        <v>1273.4496000000001</v>
      </c>
      <c r="H93" s="39">
        <f>+'FY23'!H93*(1+MYP!$K$10)</f>
        <v>1273.4496000000001</v>
      </c>
      <c r="I93" s="39">
        <f>+'FY23'!I93*(1+MYP!$K$10)</f>
        <v>6048.8855999999996</v>
      </c>
      <c r="J93" s="39">
        <f>+'FY23'!J93*(1+MYP!$K$10)</f>
        <v>1968.5408400000003</v>
      </c>
      <c r="K93" s="39">
        <f>+'FY23'!K93*(1+MYP!$K$10)</f>
        <v>424.48320000000001</v>
      </c>
      <c r="L93" s="39">
        <f>+'FY23'!L93*(1+MYP!$K$10)</f>
        <v>1273.4496000000001</v>
      </c>
      <c r="M93" s="39">
        <f>+'FY23'!M93*(1+MYP!$K$10)</f>
        <v>2122.4160000000002</v>
      </c>
      <c r="N93" s="39">
        <f>+'FY23'!N93*(1+MYP!$K$10)</f>
        <v>2122.4160000000002</v>
      </c>
      <c r="O93" s="39">
        <f>+'FY23'!O93*(1+MYP!$K$10)</f>
        <v>424.48320000000001</v>
      </c>
      <c r="P93" s="39">
        <f>+'FY23'!P93*(1+MYP!$K$10)</f>
        <v>424.48320000000001</v>
      </c>
      <c r="Q93" s="100"/>
      <c r="R93" s="41"/>
      <c r="S93" s="59">
        <f t="shared" si="26"/>
        <v>20751.922439999998</v>
      </c>
      <c r="T93" s="41"/>
      <c r="U93" s="39">
        <f>'FY23'!S93</f>
        <v>20345.022000000001</v>
      </c>
      <c r="V93" s="39">
        <f t="shared" si="27"/>
        <v>-406.90043999999762</v>
      </c>
      <c r="W93" s="39"/>
    </row>
    <row r="94" spans="3:23" s="37" customFormat="1" ht="12" x14ac:dyDescent="0.2">
      <c r="C94" s="38"/>
      <c r="E94" s="50">
        <f>SUBTOTAL(9,E82:E93)</f>
        <v>11337.199889039997</v>
      </c>
      <c r="F94" s="50">
        <f t="shared" ref="F94:V94" si="30">SUBTOTAL(9,F82:F93)</f>
        <v>11867.803889039998</v>
      </c>
      <c r="G94" s="50">
        <f t="shared" si="30"/>
        <v>13438.848048479998</v>
      </c>
      <c r="H94" s="50">
        <f t="shared" si="30"/>
        <v>11814.743489039998</v>
      </c>
      <c r="I94" s="50">
        <f t="shared" si="30"/>
        <v>29483.856689039996</v>
      </c>
      <c r="J94" s="50">
        <f t="shared" si="30"/>
        <v>21848.46512904</v>
      </c>
      <c r="K94" s="50">
        <f t="shared" si="30"/>
        <v>10488.233489039998</v>
      </c>
      <c r="L94" s="50">
        <f t="shared" si="30"/>
        <v>23434.971089039998</v>
      </c>
      <c r="M94" s="50">
        <f t="shared" si="30"/>
        <v>13990.21988904</v>
      </c>
      <c r="N94" s="50">
        <f t="shared" si="30"/>
        <v>26353.293089039998</v>
      </c>
      <c r="O94" s="50">
        <f t="shared" si="30"/>
        <v>11124.958289039998</v>
      </c>
      <c r="P94" s="50">
        <f t="shared" si="30"/>
        <v>15083.264129039999</v>
      </c>
      <c r="Q94" s="99"/>
      <c r="R94" s="41"/>
      <c r="S94" s="61">
        <f t="shared" si="30"/>
        <v>200265.85710791999</v>
      </c>
      <c r="T94" s="41"/>
      <c r="U94" s="50">
        <f t="shared" si="30"/>
        <v>196339.07559600001</v>
      </c>
      <c r="V94" s="50">
        <f t="shared" si="30"/>
        <v>-3926.7815119199654</v>
      </c>
      <c r="W94" s="39"/>
    </row>
    <row r="95" spans="3:23" s="37" customFormat="1" ht="12" x14ac:dyDescent="0.2">
      <c r="C95" s="49" t="s">
        <v>102</v>
      </c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100"/>
      <c r="R95" s="41"/>
      <c r="S95" s="59"/>
      <c r="T95" s="41"/>
      <c r="U95" s="39"/>
      <c r="V95" s="39"/>
      <c r="W95" s="39"/>
    </row>
    <row r="96" spans="3:23" s="37" customFormat="1" ht="12" x14ac:dyDescent="0.2">
      <c r="C96" s="199">
        <v>6610</v>
      </c>
      <c r="D96" s="37" t="s">
        <v>34</v>
      </c>
      <c r="E96" s="39">
        <f>+'FY23'!E96*(1+MYP!$K$10)</f>
        <v>1008.1476</v>
      </c>
      <c r="F96" s="39">
        <f>+'FY23'!F96*(1+MYP!$K$10)</f>
        <v>1273.4496000000001</v>
      </c>
      <c r="G96" s="39">
        <f>+'FY23'!G96*(1+MYP!$K$10)</f>
        <v>1008.1476</v>
      </c>
      <c r="H96" s="39">
        <f>+'FY23'!H96*(1+MYP!$K$10)</f>
        <v>1156.7167200000001</v>
      </c>
      <c r="I96" s="39">
        <f>+'FY23'!I96*(1+MYP!$K$10)</f>
        <v>1273.4496000000001</v>
      </c>
      <c r="J96" s="39">
        <f>+'FY23'!J96*(1+MYP!$K$10)</f>
        <v>1156.7167200000001</v>
      </c>
      <c r="K96" s="39">
        <f>+'FY23'!K96*(1+MYP!$K$10)</f>
        <v>1008.1476</v>
      </c>
      <c r="L96" s="39">
        <f>+'FY23'!L96*(1+MYP!$K$10)</f>
        <v>1273.4496000000001</v>
      </c>
      <c r="M96" s="39">
        <f>+'FY23'!M96*(1+MYP!$K$10)</f>
        <v>1008.1476</v>
      </c>
      <c r="N96" s="39">
        <f>+'FY23'!N96*(1+MYP!$K$10)</f>
        <v>1008.1476</v>
      </c>
      <c r="O96" s="39">
        <f>+'FY23'!O96*(1+MYP!$K$10)</f>
        <v>1750.9932000000001</v>
      </c>
      <c r="P96" s="39">
        <f>+'FY23'!P96*(1+MYP!$K$10)</f>
        <v>1008.1476</v>
      </c>
      <c r="Q96" s="100"/>
      <c r="R96" s="41"/>
      <c r="S96" s="59">
        <f t="shared" ref="S96:S102" si="31">SUM(E96:Q96)</f>
        <v>13933.661040000003</v>
      </c>
      <c r="T96" s="41"/>
      <c r="U96" s="39">
        <f>'FY23'!S96</f>
        <v>13660.451999999997</v>
      </c>
      <c r="V96" s="39">
        <f t="shared" ref="V96:V102" si="32">U96-S96</f>
        <v>-273.20904000000519</v>
      </c>
      <c r="W96" s="39"/>
    </row>
    <row r="97" spans="3:23" s="37" customFormat="1" ht="12" x14ac:dyDescent="0.2">
      <c r="C97" s="199">
        <v>6612</v>
      </c>
      <c r="D97" s="37" t="s">
        <v>35</v>
      </c>
      <c r="E97" s="39">
        <f>+'FY23'!E97*(1+MYP!$K$10)</f>
        <v>0</v>
      </c>
      <c r="F97" s="39">
        <f>+'FY23'!F97*(1+MYP!$K$10)</f>
        <v>0</v>
      </c>
      <c r="G97" s="39">
        <f>+'FY23'!G97*(1+MYP!$K$10)</f>
        <v>0</v>
      </c>
      <c r="H97" s="39">
        <f>+'FY23'!H97*(1+MYP!$K$10)</f>
        <v>0</v>
      </c>
      <c r="I97" s="39">
        <f>+'FY23'!I97*(1+MYP!$K$10)</f>
        <v>1591.8120000000001</v>
      </c>
      <c r="J97" s="39">
        <f>+'FY23'!J97*(1+MYP!$K$10)</f>
        <v>0</v>
      </c>
      <c r="K97" s="39">
        <f>+'FY23'!K97*(1+MYP!$K$10)</f>
        <v>0</v>
      </c>
      <c r="L97" s="39">
        <f>+'FY23'!L97*(1+MYP!$K$10)</f>
        <v>0</v>
      </c>
      <c r="M97" s="39">
        <f>+'FY23'!M97*(1+MYP!$K$10)</f>
        <v>0</v>
      </c>
      <c r="N97" s="39">
        <f>+'FY23'!N97*(1+MYP!$K$10)</f>
        <v>0</v>
      </c>
      <c r="O97" s="39">
        <f>+'FY23'!O97*(1+MYP!$K$10)</f>
        <v>0</v>
      </c>
      <c r="P97" s="39">
        <f>+'FY23'!P97*(1+MYP!$K$10)</f>
        <v>0</v>
      </c>
      <c r="Q97" s="100"/>
      <c r="R97" s="41"/>
      <c r="S97" s="59">
        <f t="shared" si="31"/>
        <v>1591.8120000000001</v>
      </c>
      <c r="T97" s="41"/>
      <c r="U97" s="39">
        <f>'FY23'!S97</f>
        <v>1560.6000000000001</v>
      </c>
      <c r="V97" s="39">
        <f t="shared" si="32"/>
        <v>-31.211999999999989</v>
      </c>
      <c r="W97" s="39"/>
    </row>
    <row r="98" spans="3:23" s="37" customFormat="1" ht="12" x14ac:dyDescent="0.2">
      <c r="C98" s="199">
        <v>6622</v>
      </c>
      <c r="D98" s="37" t="s">
        <v>36</v>
      </c>
      <c r="E98" s="39">
        <f>+'FY23'!E98*(1+MYP!$K$10)</f>
        <v>0</v>
      </c>
      <c r="F98" s="39">
        <f>+'FY23'!F98*(1+MYP!$K$10)</f>
        <v>0</v>
      </c>
      <c r="G98" s="39">
        <f>+'FY23'!G98*(1+MYP!$K$10)</f>
        <v>0</v>
      </c>
      <c r="H98" s="39">
        <f>+'FY23'!H98*(1+MYP!$K$10)</f>
        <v>0</v>
      </c>
      <c r="I98" s="39">
        <f>+'FY23'!I98*(1+MYP!$K$10)</f>
        <v>0</v>
      </c>
      <c r="J98" s="39">
        <f>+'FY23'!J98*(1+MYP!$K$10)</f>
        <v>0</v>
      </c>
      <c r="K98" s="39">
        <f>+'FY23'!K98*(1+MYP!$K$10)</f>
        <v>0</v>
      </c>
      <c r="L98" s="39">
        <f>+'FY23'!L98*(1+MYP!$K$10)</f>
        <v>0</v>
      </c>
      <c r="M98" s="39">
        <f>+'FY23'!M98*(1+MYP!$K$10)</f>
        <v>0</v>
      </c>
      <c r="N98" s="39">
        <f>+'FY23'!N98*(1+MYP!$K$10)</f>
        <v>0</v>
      </c>
      <c r="O98" s="39">
        <f>+'FY23'!O98*(1+MYP!$K$10)</f>
        <v>0</v>
      </c>
      <c r="P98" s="39">
        <f>+'FY23'!P98*(1+MYP!$K$10)</f>
        <v>0</v>
      </c>
      <c r="Q98" s="100"/>
      <c r="R98" s="41"/>
      <c r="S98" s="59">
        <f t="shared" si="31"/>
        <v>0</v>
      </c>
      <c r="T98" s="41"/>
      <c r="U98" s="39">
        <f>'FY23'!S98</f>
        <v>0</v>
      </c>
      <c r="V98" s="39">
        <f t="shared" si="32"/>
        <v>0</v>
      </c>
      <c r="W98" s="39"/>
    </row>
    <row r="99" spans="3:23" s="37" customFormat="1" ht="12" x14ac:dyDescent="0.2">
      <c r="C99" s="199">
        <v>6641</v>
      </c>
      <c r="D99" s="37" t="s">
        <v>37</v>
      </c>
      <c r="E99" s="39">
        <f>+'FY23'!E99*(1+MYP!$K$10)</f>
        <v>0</v>
      </c>
      <c r="F99" s="39">
        <f>+'FY23'!F99*(1+MYP!$K$10)</f>
        <v>0</v>
      </c>
      <c r="G99" s="39">
        <f>+'FY23'!G99*(1+MYP!$K$10)</f>
        <v>0</v>
      </c>
      <c r="H99" s="39">
        <f>+'FY23'!H99*(1+MYP!$K$10)</f>
        <v>0</v>
      </c>
      <c r="I99" s="39">
        <f>+'FY23'!I99*(1+MYP!$K$10)</f>
        <v>0</v>
      </c>
      <c r="J99" s="39">
        <f>+'FY23'!J99*(1+MYP!$K$10)</f>
        <v>0</v>
      </c>
      <c r="K99" s="39">
        <f>+'FY23'!K99*(1+MYP!$K$10)</f>
        <v>0</v>
      </c>
      <c r="L99" s="39">
        <f>+'FY23'!L99*(1+MYP!$K$10)</f>
        <v>0</v>
      </c>
      <c r="M99" s="39">
        <f>+'FY23'!M99*(1+MYP!$K$10)</f>
        <v>0</v>
      </c>
      <c r="N99" s="39">
        <f>+'FY23'!N99*(1+MYP!$K$10)</f>
        <v>0</v>
      </c>
      <c r="O99" s="39">
        <f>+'FY23'!O99*(1+MYP!$K$10)</f>
        <v>0</v>
      </c>
      <c r="P99" s="39">
        <f>+'FY23'!P99*(1+MYP!$K$10)</f>
        <v>0</v>
      </c>
      <c r="Q99" s="100"/>
      <c r="R99" s="41"/>
      <c r="S99" s="59">
        <f t="shared" si="31"/>
        <v>0</v>
      </c>
      <c r="T99" s="41"/>
      <c r="U99" s="39">
        <f>'FY23'!S99</f>
        <v>0</v>
      </c>
      <c r="V99" s="39">
        <f t="shared" si="32"/>
        <v>0</v>
      </c>
      <c r="W99" s="39"/>
    </row>
    <row r="100" spans="3:23" s="37" customFormat="1" ht="12" x14ac:dyDescent="0.2">
      <c r="C100" s="199">
        <v>6642</v>
      </c>
      <c r="D100" s="37" t="s">
        <v>38</v>
      </c>
      <c r="E100" s="39">
        <f>+'FY23'!E100*(1+MYP!$K$10)</f>
        <v>0</v>
      </c>
      <c r="F100" s="39">
        <f>+'FY23'!F100*(1+MYP!$K$10)</f>
        <v>0</v>
      </c>
      <c r="G100" s="39">
        <f>+'FY23'!G100*(1+MYP!$K$10)</f>
        <v>0</v>
      </c>
      <c r="H100" s="39">
        <f>+'FY23'!H100*(1+MYP!$K$10)</f>
        <v>0</v>
      </c>
      <c r="I100" s="39">
        <f>+'FY23'!I100*(1+MYP!$K$10)</f>
        <v>0</v>
      </c>
      <c r="J100" s="39">
        <f>+'FY23'!J100*(1+MYP!$K$10)</f>
        <v>0</v>
      </c>
      <c r="K100" s="39">
        <f>+'FY23'!K100*(1+MYP!$K$10)</f>
        <v>0</v>
      </c>
      <c r="L100" s="39">
        <f>+'FY23'!L100*(1+MYP!$K$10)</f>
        <v>0</v>
      </c>
      <c r="M100" s="39">
        <f>+'FY23'!M100*(1+MYP!$K$10)</f>
        <v>0</v>
      </c>
      <c r="N100" s="39">
        <f>+'FY23'!N100*(1+MYP!$K$10)</f>
        <v>0</v>
      </c>
      <c r="O100" s="39">
        <f>+'FY23'!O100*(1+MYP!$K$10)</f>
        <v>0</v>
      </c>
      <c r="P100" s="39">
        <f>+'FY23'!P100*(1+MYP!$K$10)</f>
        <v>0</v>
      </c>
      <c r="Q100" s="100"/>
      <c r="R100" s="41"/>
      <c r="S100" s="59">
        <f t="shared" si="31"/>
        <v>0</v>
      </c>
      <c r="T100" s="41"/>
      <c r="U100" s="39">
        <f>'FY23'!S100</f>
        <v>0</v>
      </c>
      <c r="V100" s="39">
        <f t="shared" si="32"/>
        <v>0</v>
      </c>
      <c r="W100" s="39"/>
    </row>
    <row r="101" spans="3:23" s="37" customFormat="1" ht="12" x14ac:dyDescent="0.2">
      <c r="C101" s="199">
        <v>6651</v>
      </c>
      <c r="D101" s="37" t="s">
        <v>39</v>
      </c>
      <c r="E101" s="39">
        <f>+'FY23'!E101*(1+MYP!$K$10)</f>
        <v>366.11676000000006</v>
      </c>
      <c r="F101" s="39">
        <f>+'FY23'!F101*(1+MYP!$K$10)</f>
        <v>8250.8922000000002</v>
      </c>
      <c r="G101" s="39">
        <f>+'FY23'!G101*(1+MYP!$K$10)</f>
        <v>3851.1238320000002</v>
      </c>
      <c r="H101" s="39">
        <f>+'FY23'!H101*(1+MYP!$K$10)</f>
        <v>366.11676000000006</v>
      </c>
      <c r="I101" s="39">
        <f>+'FY23'!I101*(1+MYP!$K$10)</f>
        <v>3894.6333600000003</v>
      </c>
      <c r="J101" s="39">
        <f>+'FY23'!J101*(1+MYP!$K$10)</f>
        <v>366.11676000000006</v>
      </c>
      <c r="K101" s="39">
        <f>+'FY23'!K101*(1+MYP!$K$10)</f>
        <v>23840.03772</v>
      </c>
      <c r="L101" s="39">
        <f>+'FY23'!L101*(1+MYP!$K$10)</f>
        <v>847.90519200000006</v>
      </c>
      <c r="M101" s="39">
        <f>+'FY23'!M101*(1+MYP!$K$10)</f>
        <v>366.11676000000006</v>
      </c>
      <c r="N101" s="39">
        <f>+'FY23'!N101*(1+MYP!$K$10)</f>
        <v>366.11676000000006</v>
      </c>
      <c r="O101" s="39">
        <f>+'FY23'!O101*(1+MYP!$K$10)</f>
        <v>366.11676000000006</v>
      </c>
      <c r="P101" s="39">
        <f>+'FY23'!P101*(1+MYP!$K$10)</f>
        <v>4982.3715599999996</v>
      </c>
      <c r="Q101" s="100"/>
      <c r="R101" s="41"/>
      <c r="S101" s="59">
        <f t="shared" si="31"/>
        <v>47863.664423999988</v>
      </c>
      <c r="T101" s="41"/>
      <c r="U101" s="39">
        <f>'FY23'!S101</f>
        <v>46925.161200000002</v>
      </c>
      <c r="V101" s="39">
        <f t="shared" si="32"/>
        <v>-938.50322399998549</v>
      </c>
      <c r="W101" s="39"/>
    </row>
    <row r="102" spans="3:23" s="37" customFormat="1" ht="12" x14ac:dyDescent="0.2">
      <c r="C102" s="199">
        <v>6652</v>
      </c>
      <c r="D102" s="37" t="s">
        <v>40</v>
      </c>
      <c r="E102" s="39">
        <f>+'FY23'!E102*(1+MYP!$K$10)</f>
        <v>0</v>
      </c>
      <c r="F102" s="39">
        <f>+'FY23'!F102*(1+MYP!$K$10)</f>
        <v>0</v>
      </c>
      <c r="G102" s="39">
        <f>+'FY23'!G102*(1+MYP!$K$10)</f>
        <v>0</v>
      </c>
      <c r="H102" s="39">
        <f>+'FY23'!H102*(1+MYP!$K$10)</f>
        <v>0</v>
      </c>
      <c r="I102" s="39">
        <f>+'FY23'!I102*(1+MYP!$K$10)</f>
        <v>0</v>
      </c>
      <c r="J102" s="39">
        <f>+'FY23'!J102*(1+MYP!$K$10)</f>
        <v>0</v>
      </c>
      <c r="K102" s="39">
        <f>+'FY23'!K102*(1+MYP!$K$10)</f>
        <v>0</v>
      </c>
      <c r="L102" s="39">
        <f>+'FY23'!L102*(1+MYP!$K$10)</f>
        <v>0</v>
      </c>
      <c r="M102" s="39">
        <f>+'FY23'!M102*(1+MYP!$K$10)</f>
        <v>0</v>
      </c>
      <c r="N102" s="39">
        <f>+'FY23'!N102*(1+MYP!$K$10)</f>
        <v>0</v>
      </c>
      <c r="O102" s="39">
        <f>+'FY23'!O102*(1+MYP!$K$10)</f>
        <v>0</v>
      </c>
      <c r="P102" s="39">
        <f>+'FY23'!P102*(1+MYP!$K$10)</f>
        <v>0</v>
      </c>
      <c r="Q102" s="100"/>
      <c r="R102" s="41"/>
      <c r="S102" s="59">
        <f t="shared" si="31"/>
        <v>0</v>
      </c>
      <c r="T102" s="41"/>
      <c r="U102" s="39">
        <f>'FY23'!S102</f>
        <v>0</v>
      </c>
      <c r="V102" s="39">
        <f t="shared" si="32"/>
        <v>0</v>
      </c>
      <c r="W102" s="39"/>
    </row>
    <row r="103" spans="3:23" s="37" customFormat="1" ht="12" x14ac:dyDescent="0.2">
      <c r="C103" s="38"/>
      <c r="E103" s="50">
        <f>SUBTOTAL(9,E96:E102)</f>
        <v>1374.2643600000001</v>
      </c>
      <c r="F103" s="50">
        <f t="shared" ref="F103:V103" si="33">SUBTOTAL(9,F96:F102)</f>
        <v>9524.3418000000001</v>
      </c>
      <c r="G103" s="50">
        <f t="shared" si="33"/>
        <v>4859.2714320000005</v>
      </c>
      <c r="H103" s="50">
        <f t="shared" si="33"/>
        <v>1522.8334800000002</v>
      </c>
      <c r="I103" s="50">
        <f t="shared" si="33"/>
        <v>6759.8949600000005</v>
      </c>
      <c r="J103" s="50">
        <f t="shared" si="33"/>
        <v>1522.8334800000002</v>
      </c>
      <c r="K103" s="50">
        <f t="shared" si="33"/>
        <v>24848.185320000001</v>
      </c>
      <c r="L103" s="50">
        <f t="shared" si="33"/>
        <v>2121.3547920000001</v>
      </c>
      <c r="M103" s="50">
        <f t="shared" si="33"/>
        <v>1374.2643600000001</v>
      </c>
      <c r="N103" s="50">
        <f t="shared" si="33"/>
        <v>1374.2643600000001</v>
      </c>
      <c r="O103" s="50">
        <f t="shared" si="33"/>
        <v>2117.1099600000002</v>
      </c>
      <c r="P103" s="50">
        <f t="shared" si="33"/>
        <v>5990.5191599999998</v>
      </c>
      <c r="Q103" s="99"/>
      <c r="R103" s="41"/>
      <c r="S103" s="61">
        <f t="shared" si="33"/>
        <v>63389.137463999992</v>
      </c>
      <c r="T103" s="41"/>
      <c r="U103" s="50">
        <f t="shared" si="33"/>
        <v>62146.213199999998</v>
      </c>
      <c r="V103" s="50">
        <f t="shared" si="33"/>
        <v>-1242.9242639999907</v>
      </c>
      <c r="W103" s="39"/>
    </row>
    <row r="104" spans="3:23" s="37" customFormat="1" ht="12" x14ac:dyDescent="0.2">
      <c r="C104" s="49" t="s">
        <v>103</v>
      </c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100"/>
      <c r="R104" s="41"/>
      <c r="S104" s="59"/>
      <c r="T104" s="41"/>
      <c r="U104" s="39"/>
      <c r="V104" s="39"/>
      <c r="W104" s="39"/>
    </row>
    <row r="105" spans="3:23" s="37" customFormat="1" ht="12" x14ac:dyDescent="0.2">
      <c r="C105" s="199">
        <v>6734</v>
      </c>
      <c r="D105" s="37" t="s">
        <v>41</v>
      </c>
      <c r="E105" s="39">
        <f>+'FY23'!E105*(1+MYP!$K$10)</f>
        <v>0</v>
      </c>
      <c r="F105" s="39">
        <f>+'FY23'!F105*(1+MYP!$K$10)</f>
        <v>0</v>
      </c>
      <c r="G105" s="39">
        <f>+'FY23'!G105*(1+MYP!$K$10)</f>
        <v>0</v>
      </c>
      <c r="H105" s="39">
        <f>+'FY23'!H105*(1+MYP!$K$10)</f>
        <v>0</v>
      </c>
      <c r="I105" s="39">
        <f>+'FY23'!I105*(1+MYP!$K$10)</f>
        <v>0</v>
      </c>
      <c r="J105" s="39">
        <f>+'FY23'!J105*(1+MYP!$K$10)</f>
        <v>0</v>
      </c>
      <c r="K105" s="39">
        <f>+'FY23'!K105*(1+MYP!$K$10)</f>
        <v>0</v>
      </c>
      <c r="L105" s="39">
        <f>+'FY23'!L105*(1+MYP!$K$10)</f>
        <v>0</v>
      </c>
      <c r="M105" s="39">
        <f>+'FY23'!M105*(1+MYP!$K$10)</f>
        <v>0</v>
      </c>
      <c r="N105" s="39">
        <f>+'FY23'!N105*(1+MYP!$K$10)</f>
        <v>0</v>
      </c>
      <c r="O105" s="39">
        <f>+'FY23'!O105*(1+MYP!$K$10)</f>
        <v>0</v>
      </c>
      <c r="P105" s="39">
        <f>+'FY23'!P105*(1+MYP!$K$10)</f>
        <v>0</v>
      </c>
      <c r="Q105" s="100"/>
      <c r="R105" s="41"/>
      <c r="S105" s="59">
        <f t="shared" ref="S105" si="34">SUM(E105:Q105)</f>
        <v>0</v>
      </c>
      <c r="T105" s="41"/>
      <c r="U105" s="39">
        <f>'FY23'!S105</f>
        <v>0</v>
      </c>
      <c r="V105" s="39">
        <f t="shared" ref="V105" si="35">U105-S105</f>
        <v>0</v>
      </c>
      <c r="W105" s="39"/>
    </row>
    <row r="106" spans="3:23" s="37" customFormat="1" ht="12" x14ac:dyDescent="0.2">
      <c r="C106" s="38"/>
      <c r="E106" s="50">
        <f>SUBTOTAL(9,E105)</f>
        <v>0</v>
      </c>
      <c r="F106" s="50">
        <f t="shared" ref="F106:V106" si="36">SUBTOTAL(9,F105)</f>
        <v>0</v>
      </c>
      <c r="G106" s="50">
        <f t="shared" si="36"/>
        <v>0</v>
      </c>
      <c r="H106" s="50">
        <f t="shared" si="36"/>
        <v>0</v>
      </c>
      <c r="I106" s="50">
        <f t="shared" si="36"/>
        <v>0</v>
      </c>
      <c r="J106" s="50">
        <f t="shared" si="36"/>
        <v>0</v>
      </c>
      <c r="K106" s="50">
        <f t="shared" si="36"/>
        <v>0</v>
      </c>
      <c r="L106" s="50">
        <f t="shared" si="36"/>
        <v>0</v>
      </c>
      <c r="M106" s="50">
        <f t="shared" si="36"/>
        <v>0</v>
      </c>
      <c r="N106" s="50">
        <f t="shared" si="36"/>
        <v>0</v>
      </c>
      <c r="O106" s="50">
        <f t="shared" si="36"/>
        <v>0</v>
      </c>
      <c r="P106" s="50">
        <f t="shared" si="36"/>
        <v>0</v>
      </c>
      <c r="Q106" s="99"/>
      <c r="R106" s="41"/>
      <c r="S106" s="61">
        <f t="shared" si="36"/>
        <v>0</v>
      </c>
      <c r="T106" s="41"/>
      <c r="U106" s="50">
        <f t="shared" si="36"/>
        <v>0</v>
      </c>
      <c r="V106" s="50">
        <f t="shared" si="36"/>
        <v>0</v>
      </c>
      <c r="W106" s="39"/>
    </row>
    <row r="107" spans="3:23" s="37" customFormat="1" ht="12" x14ac:dyDescent="0.2">
      <c r="C107" s="49" t="s">
        <v>104</v>
      </c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100"/>
      <c r="R107" s="41"/>
      <c r="S107" s="59"/>
      <c r="T107" s="41"/>
      <c r="U107" s="39"/>
      <c r="V107" s="39"/>
      <c r="W107" s="39"/>
    </row>
    <row r="108" spans="3:23" s="37" customFormat="1" ht="12" x14ac:dyDescent="0.2">
      <c r="C108" s="199">
        <v>6810</v>
      </c>
      <c r="D108" s="37" t="s">
        <v>42</v>
      </c>
      <c r="E108" s="39">
        <f>+'FY23'!E108*(1+MYP!$K$10)</f>
        <v>1011.331224</v>
      </c>
      <c r="F108" s="39">
        <f>+'FY23'!F108*(1+MYP!$K$10)</f>
        <v>2913.0159600000002</v>
      </c>
      <c r="G108" s="39">
        <f>+'FY23'!G108*(1+MYP!$K$10)</f>
        <v>9227.2035599999999</v>
      </c>
      <c r="H108" s="39">
        <f>+'FY23'!H108*(1+MYP!$K$10)</f>
        <v>313.05635999999998</v>
      </c>
      <c r="I108" s="39">
        <f>+'FY23'!I108*(1+MYP!$K$10)</f>
        <v>578.35836000000006</v>
      </c>
      <c r="J108" s="39">
        <f>+'FY23'!J108*(1+MYP!$K$10)</f>
        <v>1634.2603199999999</v>
      </c>
      <c r="K108" s="39">
        <f>+'FY23'!K108*(1+MYP!$K$10)</f>
        <v>313.05635999999998</v>
      </c>
      <c r="L108" s="39">
        <f>+'FY23'!L108*(1+MYP!$K$10)</f>
        <v>578.35836000000006</v>
      </c>
      <c r="M108" s="39">
        <f>+'FY23'!M108*(1+MYP!$K$10)</f>
        <v>313.05635999999998</v>
      </c>
      <c r="N108" s="39">
        <f>+'FY23'!N108*(1+MYP!$K$10)</f>
        <v>313.05635999999998</v>
      </c>
      <c r="O108" s="39">
        <f>+'FY23'!O108*(1+MYP!$K$10)</f>
        <v>578.35836000000006</v>
      </c>
      <c r="P108" s="39">
        <f>+'FY23'!P108*(1+MYP!$K$10)</f>
        <v>313.05635999999998</v>
      </c>
      <c r="Q108" s="100"/>
      <c r="R108" s="41"/>
      <c r="S108" s="59">
        <f t="shared" ref="S108" si="37">SUM(E108:Q108)</f>
        <v>18086.167943999993</v>
      </c>
      <c r="T108" s="41"/>
      <c r="U108" s="39">
        <f>'FY23'!S108</f>
        <v>17731.537200000002</v>
      </c>
      <c r="V108" s="39">
        <f t="shared" ref="V108" si="38">U108-S108</f>
        <v>-354.63074399999095</v>
      </c>
      <c r="W108" s="39"/>
    </row>
    <row r="109" spans="3:23" s="37" customFormat="1" ht="12" x14ac:dyDescent="0.2">
      <c r="C109" s="38"/>
      <c r="E109" s="50">
        <f>SUBTOTAL(9,E108)</f>
        <v>1011.331224</v>
      </c>
      <c r="F109" s="50">
        <f t="shared" ref="F109:P109" si="39">SUBTOTAL(9,F108)</f>
        <v>2913.0159600000002</v>
      </c>
      <c r="G109" s="50">
        <f t="shared" si="39"/>
        <v>9227.2035599999999</v>
      </c>
      <c r="H109" s="50">
        <f t="shared" si="39"/>
        <v>313.05635999999998</v>
      </c>
      <c r="I109" s="50">
        <f t="shared" si="39"/>
        <v>578.35836000000006</v>
      </c>
      <c r="J109" s="50">
        <f t="shared" si="39"/>
        <v>1634.2603199999999</v>
      </c>
      <c r="K109" s="50">
        <f t="shared" si="39"/>
        <v>313.05635999999998</v>
      </c>
      <c r="L109" s="50">
        <f t="shared" si="39"/>
        <v>578.35836000000006</v>
      </c>
      <c r="M109" s="50">
        <f t="shared" si="39"/>
        <v>313.05635999999998</v>
      </c>
      <c r="N109" s="50">
        <f t="shared" si="39"/>
        <v>313.05635999999998</v>
      </c>
      <c r="O109" s="50">
        <f t="shared" si="39"/>
        <v>578.35836000000006</v>
      </c>
      <c r="P109" s="50">
        <f t="shared" si="39"/>
        <v>313.05635999999998</v>
      </c>
      <c r="Q109" s="99"/>
      <c r="R109" s="41"/>
      <c r="S109" s="61">
        <f t="shared" ref="S109" si="40">SUBTOTAL(9,S108)</f>
        <v>18086.167943999993</v>
      </c>
      <c r="T109" s="41"/>
      <c r="U109" s="50">
        <f t="shared" ref="U109:V109" si="41">SUBTOTAL(9,U108)</f>
        <v>17731.537200000002</v>
      </c>
      <c r="V109" s="50">
        <f t="shared" si="41"/>
        <v>-354.63074399999095</v>
      </c>
      <c r="W109" s="39"/>
    </row>
    <row r="110" spans="3:23" s="45" customFormat="1" ht="12" x14ac:dyDescent="0.2">
      <c r="C110" s="49" t="s">
        <v>43</v>
      </c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101"/>
      <c r="R110" s="48"/>
      <c r="S110" s="62"/>
      <c r="T110" s="48"/>
      <c r="U110" s="48"/>
      <c r="V110" s="48"/>
      <c r="W110" s="40"/>
    </row>
    <row r="111" spans="3:23" s="37" customFormat="1" ht="12" x14ac:dyDescent="0.2">
      <c r="C111" s="199">
        <v>7306</v>
      </c>
      <c r="D111" s="37" t="s">
        <v>43</v>
      </c>
      <c r="E111" s="39">
        <f>+'FY23'!E111*(1+MYP!$K$10)</f>
        <v>0</v>
      </c>
      <c r="F111" s="39">
        <f>+'FY23'!F111*(1+MYP!$K$10)</f>
        <v>0</v>
      </c>
      <c r="G111" s="39">
        <f>+'FY23'!G111*(1+MYP!$K$10)</f>
        <v>0</v>
      </c>
      <c r="H111" s="39">
        <f>+'FY23'!H111*(1+MYP!$K$10)</f>
        <v>0</v>
      </c>
      <c r="I111" s="39">
        <f>+'FY23'!I111*(1+MYP!$K$10)</f>
        <v>0</v>
      </c>
      <c r="J111" s="39">
        <f>+'FY23'!J111*(1+MYP!$K$10)</f>
        <v>0</v>
      </c>
      <c r="K111" s="39">
        <f>+'FY23'!K111*(1+MYP!$K$10)</f>
        <v>0</v>
      </c>
      <c r="L111" s="39">
        <f>+'FY23'!L111*(1+MYP!$K$10)</f>
        <v>0</v>
      </c>
      <c r="M111" s="39">
        <f>+'FY23'!M111*(1+MYP!$K$10)</f>
        <v>0</v>
      </c>
      <c r="N111" s="39">
        <f>+'FY23'!N111*(1+MYP!$K$10)</f>
        <v>0</v>
      </c>
      <c r="O111" s="39">
        <f>+'FY23'!O111*(1+MYP!$K$10)</f>
        <v>0</v>
      </c>
      <c r="P111" s="39">
        <f>+'FY23'!P111*(1+MYP!$K$10)</f>
        <v>0</v>
      </c>
      <c r="Q111" s="100"/>
      <c r="R111" s="41"/>
      <c r="S111" s="62">
        <f t="shared" ref="S111:S112" si="42">SUM(E111:Q111)</f>
        <v>0</v>
      </c>
      <c r="T111" s="41"/>
      <c r="U111" s="41">
        <f>'FY23'!S111</f>
        <v>0</v>
      </c>
      <c r="V111" s="41">
        <f t="shared" ref="V111" si="43">U111-S111</f>
        <v>0</v>
      </c>
      <c r="W111" s="39"/>
    </row>
    <row r="112" spans="3:23" s="37" customFormat="1" ht="12" x14ac:dyDescent="0.2">
      <c r="C112" s="38">
        <v>7901</v>
      </c>
      <c r="D112" s="37" t="s">
        <v>177</v>
      </c>
      <c r="E112" s="39">
        <f>+'FY23'!E112*(1+MYP!$K$10)</f>
        <v>0</v>
      </c>
      <c r="F112" s="39">
        <f>+'FY23'!F112*(1+MYP!$K$10)</f>
        <v>0</v>
      </c>
      <c r="G112" s="39">
        <f>+'FY23'!G112*(1+MYP!$K$10)</f>
        <v>0</v>
      </c>
      <c r="H112" s="39">
        <f>+'FY23'!H112*(1+MYP!$K$10)</f>
        <v>0</v>
      </c>
      <c r="I112" s="39">
        <f>+'FY23'!I112*(1+MYP!$K$10)</f>
        <v>0</v>
      </c>
      <c r="J112" s="39">
        <f>+'FY23'!J112*(1+MYP!$K$10)</f>
        <v>0</v>
      </c>
      <c r="K112" s="39">
        <f>+'FY23'!K112*(1+MYP!$K$10)</f>
        <v>0</v>
      </c>
      <c r="L112" s="39">
        <f>+'FY23'!L112*(1+MYP!$K$10)</f>
        <v>0</v>
      </c>
      <c r="M112" s="39">
        <f>+'FY23'!M112*(1+MYP!$K$10)</f>
        <v>0</v>
      </c>
      <c r="N112" s="39">
        <f>+'FY23'!N112*(1+MYP!$K$10)</f>
        <v>0</v>
      </c>
      <c r="O112" s="39">
        <f>+'FY23'!O112*(1+MYP!$K$10)</f>
        <v>0</v>
      </c>
      <c r="P112" s="39">
        <f>+'FY23'!P112*(1+MYP!$K$10)</f>
        <v>0</v>
      </c>
      <c r="Q112" s="100"/>
      <c r="R112" s="41"/>
      <c r="S112" s="62">
        <f t="shared" si="42"/>
        <v>0</v>
      </c>
      <c r="T112" s="41"/>
      <c r="U112" s="41">
        <f>'FY23'!S112</f>
        <v>0</v>
      </c>
      <c r="V112" s="41">
        <f t="shared" ref="V112" si="44">U112-S112</f>
        <v>0</v>
      </c>
      <c r="W112" s="39"/>
    </row>
    <row r="113" spans="1:23" s="37" customFormat="1" ht="12" x14ac:dyDescent="0.2">
      <c r="C113" s="38"/>
      <c r="E113" s="50">
        <f>SUBTOTAL(9,E111:E112)</f>
        <v>0</v>
      </c>
      <c r="F113" s="50">
        <f t="shared" ref="F113:P113" si="45">SUBTOTAL(9,F111:F112)</f>
        <v>0</v>
      </c>
      <c r="G113" s="50">
        <f t="shared" si="45"/>
        <v>0</v>
      </c>
      <c r="H113" s="50">
        <f t="shared" si="45"/>
        <v>0</v>
      </c>
      <c r="I113" s="50">
        <f t="shared" si="45"/>
        <v>0</v>
      </c>
      <c r="J113" s="50">
        <f t="shared" si="45"/>
        <v>0</v>
      </c>
      <c r="K113" s="50">
        <f t="shared" si="45"/>
        <v>0</v>
      </c>
      <c r="L113" s="50">
        <f t="shared" si="45"/>
        <v>0</v>
      </c>
      <c r="M113" s="50">
        <f t="shared" si="45"/>
        <v>0</v>
      </c>
      <c r="N113" s="50">
        <f t="shared" si="45"/>
        <v>0</v>
      </c>
      <c r="O113" s="50">
        <f t="shared" si="45"/>
        <v>0</v>
      </c>
      <c r="P113" s="50">
        <f t="shared" si="45"/>
        <v>0</v>
      </c>
      <c r="Q113" s="99"/>
      <c r="R113" s="41"/>
      <c r="S113" s="61">
        <f>SUBTOTAL(9,S111:S112)</f>
        <v>0</v>
      </c>
      <c r="T113" s="41"/>
      <c r="U113" s="50">
        <f>SUBTOTAL(9,U111:U112)</f>
        <v>0</v>
      </c>
      <c r="V113" s="50">
        <f>SUBTOTAL(9,V111:V112)</f>
        <v>0</v>
      </c>
      <c r="W113" s="39"/>
    </row>
    <row r="114" spans="1:23" s="37" customFormat="1" ht="9" customHeight="1" x14ac:dyDescent="0.2">
      <c r="C114" s="38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100"/>
      <c r="R114" s="41"/>
      <c r="S114" s="59"/>
      <c r="T114" s="41"/>
      <c r="U114" s="39"/>
      <c r="V114" s="39"/>
      <c r="W114" s="39"/>
    </row>
    <row r="115" spans="1:23" s="45" customFormat="1" ht="12" x14ac:dyDescent="0.2">
      <c r="A115" s="45" t="s">
        <v>107</v>
      </c>
      <c r="C115" s="46"/>
      <c r="E115" s="43">
        <f t="shared" ref="E115:P115" si="46">SUBTOTAL(9,E30:E114)</f>
        <v>159834.72147469199</v>
      </c>
      <c r="F115" s="43">
        <f t="shared" si="46"/>
        <v>216501.64747477189</v>
      </c>
      <c r="G115" s="43">
        <f t="shared" si="46"/>
        <v>210270.18846682794</v>
      </c>
      <c r="H115" s="43">
        <f t="shared" si="46"/>
        <v>238993.27929010792</v>
      </c>
      <c r="I115" s="43">
        <f t="shared" si="46"/>
        <v>198135.13172374797</v>
      </c>
      <c r="J115" s="43">
        <f t="shared" si="46"/>
        <v>178877.41667794791</v>
      </c>
      <c r="K115" s="43">
        <f t="shared" si="46"/>
        <v>217451.42545114795</v>
      </c>
      <c r="L115" s="43">
        <f t="shared" si="46"/>
        <v>194077.02988342792</v>
      </c>
      <c r="M115" s="43">
        <f t="shared" si="46"/>
        <v>171848.69650738794</v>
      </c>
      <c r="N115" s="43">
        <f t="shared" si="46"/>
        <v>213819.10148458794</v>
      </c>
      <c r="O115" s="43">
        <f t="shared" si="46"/>
        <v>171221.21270665198</v>
      </c>
      <c r="P115" s="43">
        <f t="shared" si="46"/>
        <v>216553.37075269202</v>
      </c>
      <c r="Q115" s="47"/>
      <c r="R115" s="48"/>
      <c r="S115" s="60">
        <f>SUBTOTAL(9,S30:S114)</f>
        <v>2387583.2218939913</v>
      </c>
      <c r="T115" s="48"/>
      <c r="U115" s="43">
        <f>SUBTOTAL(9,U30:U114)</f>
        <v>2340767.864601953</v>
      </c>
      <c r="V115" s="43">
        <f>SUBTOTAL(9,V30:V114)</f>
        <v>-46815.357292038825</v>
      </c>
      <c r="W115" s="40"/>
    </row>
    <row r="116" spans="1:23" s="37" customFormat="1" ht="12" x14ac:dyDescent="0.2">
      <c r="C116" s="38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44"/>
      <c r="R116" s="41"/>
      <c r="S116" s="59"/>
      <c r="T116" s="41"/>
      <c r="U116" s="39"/>
      <c r="V116" s="39"/>
      <c r="W116" s="39"/>
    </row>
    <row r="117" spans="1:23" s="45" customFormat="1" ht="12.75" thickBot="1" x14ac:dyDescent="0.25">
      <c r="A117" s="45" t="s">
        <v>108</v>
      </c>
      <c r="C117" s="46"/>
      <c r="E117" s="181">
        <f t="shared" ref="E117:P117" si="47">E27-E115</f>
        <v>26877.216957027907</v>
      </c>
      <c r="F117" s="181">
        <f t="shared" si="47"/>
        <v>-29789.709043051989</v>
      </c>
      <c r="G117" s="181">
        <f t="shared" si="47"/>
        <v>-23558.250035108038</v>
      </c>
      <c r="H117" s="181">
        <f t="shared" si="47"/>
        <v>59208.521658394398</v>
      </c>
      <c r="I117" s="181">
        <f t="shared" si="47"/>
        <v>-11423.193292028067</v>
      </c>
      <c r="J117" s="181">
        <f t="shared" si="47"/>
        <v>17621.438693335047</v>
      </c>
      <c r="K117" s="181">
        <f t="shared" si="47"/>
        <v>90976.498317668797</v>
      </c>
      <c r="L117" s="181">
        <f t="shared" si="47"/>
        <v>-7365.0914517080237</v>
      </c>
      <c r="M117" s="181">
        <f t="shared" si="47"/>
        <v>14863.24192433196</v>
      </c>
      <c r="N117" s="181">
        <f t="shared" si="47"/>
        <v>84382.699463914381</v>
      </c>
      <c r="O117" s="181">
        <f t="shared" si="47"/>
        <v>26521.393919838272</v>
      </c>
      <c r="P117" s="181">
        <f t="shared" si="47"/>
        <v>94423.61524366602</v>
      </c>
      <c r="Q117" s="190"/>
      <c r="R117" s="191"/>
      <c r="S117" s="192">
        <f>S27-S115</f>
        <v>342738.38235628046</v>
      </c>
      <c r="T117" s="191"/>
      <c r="U117" s="181">
        <f>U27-U115</f>
        <v>231400.92578124767</v>
      </c>
      <c r="V117" s="181">
        <f>V27+V115</f>
        <v>111337.45657503241</v>
      </c>
      <c r="W117" s="40"/>
    </row>
    <row r="118" spans="1:23" s="37" customFormat="1" ht="12.75" thickTop="1" x14ac:dyDescent="0.2">
      <c r="C118" s="38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44"/>
      <c r="R118" s="41"/>
      <c r="S118" s="59"/>
      <c r="T118" s="41"/>
      <c r="U118" s="39"/>
      <c r="V118" s="39"/>
      <c r="W118" s="39"/>
    </row>
    <row r="119" spans="1:23" s="37" customFormat="1" ht="12" x14ac:dyDescent="0.2">
      <c r="A119" s="53" t="s">
        <v>109</v>
      </c>
      <c r="B119" s="54"/>
      <c r="C119" s="54"/>
      <c r="D119" s="54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44"/>
      <c r="R119" s="41"/>
      <c r="S119" s="59"/>
      <c r="T119" s="41"/>
      <c r="U119" s="39"/>
      <c r="V119" s="39"/>
      <c r="W119" s="39"/>
    </row>
    <row r="120" spans="1:23" s="37" customFormat="1" ht="12" x14ac:dyDescent="0.2">
      <c r="A120" s="53"/>
      <c r="B120" s="53"/>
      <c r="C120" s="54" t="s">
        <v>110</v>
      </c>
      <c r="D120" s="54"/>
      <c r="E120" s="39">
        <f>E117</f>
        <v>26877.216957027907</v>
      </c>
      <c r="F120" s="39">
        <f t="shared" ref="F120:P120" si="48">F117</f>
        <v>-29789.709043051989</v>
      </c>
      <c r="G120" s="39">
        <f t="shared" si="48"/>
        <v>-23558.250035108038</v>
      </c>
      <c r="H120" s="39">
        <f t="shared" si="48"/>
        <v>59208.521658394398</v>
      </c>
      <c r="I120" s="39">
        <f t="shared" si="48"/>
        <v>-11423.193292028067</v>
      </c>
      <c r="J120" s="39">
        <f t="shared" si="48"/>
        <v>17621.438693335047</v>
      </c>
      <c r="K120" s="39">
        <f t="shared" si="48"/>
        <v>90976.498317668797</v>
      </c>
      <c r="L120" s="39">
        <f t="shared" si="48"/>
        <v>-7365.0914517080237</v>
      </c>
      <c r="M120" s="39">
        <f t="shared" si="48"/>
        <v>14863.24192433196</v>
      </c>
      <c r="N120" s="39">
        <f t="shared" si="48"/>
        <v>84382.699463914381</v>
      </c>
      <c r="O120" s="39">
        <f t="shared" si="48"/>
        <v>26521.393919838272</v>
      </c>
      <c r="P120" s="39">
        <f t="shared" si="48"/>
        <v>94423.61524366602</v>
      </c>
      <c r="Q120" s="44"/>
      <c r="R120" s="41"/>
      <c r="S120" s="59">
        <f t="shared" ref="S120:S136" si="49">SUM(E120:Q120)</f>
        <v>342738.38235628069</v>
      </c>
      <c r="T120" s="41"/>
      <c r="U120" s="39"/>
      <c r="V120" s="39"/>
      <c r="W120" s="39"/>
    </row>
    <row r="121" spans="1:23" s="37" customFormat="1" ht="12" x14ac:dyDescent="0.2">
      <c r="A121" s="54"/>
      <c r="B121" s="54" t="s">
        <v>111</v>
      </c>
      <c r="C121" s="54" t="s">
        <v>112</v>
      </c>
      <c r="D121" s="54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44"/>
      <c r="R121" s="41"/>
      <c r="S121" s="59"/>
      <c r="T121" s="41"/>
      <c r="U121" s="39"/>
      <c r="V121" s="39"/>
      <c r="W121" s="39"/>
    </row>
    <row r="122" spans="1:23" s="37" customFormat="1" ht="12" x14ac:dyDescent="0.2">
      <c r="A122" s="54"/>
      <c r="B122" s="54" t="s">
        <v>111</v>
      </c>
      <c r="C122" s="54"/>
      <c r="D122" s="55" t="s">
        <v>113</v>
      </c>
      <c r="E122" s="39">
        <f>E112</f>
        <v>0</v>
      </c>
      <c r="F122" s="39">
        <f t="shared" ref="F122:P122" si="50">F112</f>
        <v>0</v>
      </c>
      <c r="G122" s="39">
        <f t="shared" si="50"/>
        <v>0</v>
      </c>
      <c r="H122" s="39">
        <f t="shared" si="50"/>
        <v>0</v>
      </c>
      <c r="I122" s="39">
        <f t="shared" si="50"/>
        <v>0</v>
      </c>
      <c r="J122" s="39">
        <f t="shared" si="50"/>
        <v>0</v>
      </c>
      <c r="K122" s="39">
        <f t="shared" si="50"/>
        <v>0</v>
      </c>
      <c r="L122" s="39">
        <f t="shared" si="50"/>
        <v>0</v>
      </c>
      <c r="M122" s="39">
        <f t="shared" si="50"/>
        <v>0</v>
      </c>
      <c r="N122" s="39">
        <f t="shared" si="50"/>
        <v>0</v>
      </c>
      <c r="O122" s="39">
        <f t="shared" si="50"/>
        <v>0</v>
      </c>
      <c r="P122" s="39">
        <f t="shared" si="50"/>
        <v>0</v>
      </c>
      <c r="Q122" s="44"/>
      <c r="R122" s="41"/>
      <c r="S122" s="59">
        <f t="shared" si="49"/>
        <v>0</v>
      </c>
      <c r="T122" s="41"/>
      <c r="U122" s="39"/>
      <c r="V122" s="39"/>
      <c r="W122" s="39"/>
    </row>
    <row r="123" spans="1:23" s="37" customFormat="1" ht="12" x14ac:dyDescent="0.2">
      <c r="A123" s="54"/>
      <c r="B123" s="54" t="s">
        <v>111</v>
      </c>
      <c r="C123" s="54"/>
      <c r="D123" s="55" t="s">
        <v>114</v>
      </c>
      <c r="E123" s="39">
        <f>-'FY23'!Q123</f>
        <v>0</v>
      </c>
      <c r="F123" s="39">
        <v>0</v>
      </c>
      <c r="G123" s="39">
        <v>0</v>
      </c>
      <c r="H123" s="39">
        <v>0</v>
      </c>
      <c r="I123" s="39">
        <v>0</v>
      </c>
      <c r="J123" s="39">
        <v>0</v>
      </c>
      <c r="K123" s="39">
        <v>0</v>
      </c>
      <c r="L123" s="39">
        <v>0</v>
      </c>
      <c r="M123" s="39">
        <v>0</v>
      </c>
      <c r="N123" s="39">
        <v>0</v>
      </c>
      <c r="O123" s="39">
        <v>0</v>
      </c>
      <c r="P123" s="39">
        <v>0</v>
      </c>
      <c r="Q123" s="44"/>
      <c r="R123" s="41"/>
      <c r="S123" s="59">
        <f t="shared" si="49"/>
        <v>0</v>
      </c>
      <c r="T123" s="41"/>
      <c r="U123" s="39"/>
      <c r="V123" s="39"/>
      <c r="W123" s="39"/>
    </row>
    <row r="124" spans="1:23" s="37" customFormat="1" ht="12" x14ac:dyDescent="0.2">
      <c r="A124" s="54"/>
      <c r="B124" s="54" t="s">
        <v>111</v>
      </c>
      <c r="C124" s="54"/>
      <c r="D124" s="55" t="s">
        <v>115</v>
      </c>
      <c r="E124" s="39">
        <v>0</v>
      </c>
      <c r="F124" s="39">
        <v>0</v>
      </c>
      <c r="G124" s="39">
        <v>0</v>
      </c>
      <c r="H124" s="39">
        <v>0</v>
      </c>
      <c r="I124" s="39">
        <v>0</v>
      </c>
      <c r="J124" s="39">
        <v>0</v>
      </c>
      <c r="K124" s="39">
        <v>0</v>
      </c>
      <c r="L124" s="39">
        <v>0</v>
      </c>
      <c r="M124" s="39">
        <v>0</v>
      </c>
      <c r="N124" s="39">
        <v>0</v>
      </c>
      <c r="O124" s="39">
        <v>0</v>
      </c>
      <c r="P124" s="39">
        <v>0</v>
      </c>
      <c r="Q124" s="44"/>
      <c r="R124" s="41"/>
      <c r="S124" s="59">
        <f t="shared" si="49"/>
        <v>0</v>
      </c>
      <c r="T124" s="41"/>
      <c r="U124" s="39"/>
      <c r="V124" s="39"/>
      <c r="W124" s="39"/>
    </row>
    <row r="125" spans="1:23" s="37" customFormat="1" ht="12" x14ac:dyDescent="0.2">
      <c r="A125" s="54"/>
      <c r="B125" s="54" t="s">
        <v>111</v>
      </c>
      <c r="C125" s="54"/>
      <c r="D125" s="55" t="s">
        <v>116</v>
      </c>
      <c r="E125" s="39">
        <v>0</v>
      </c>
      <c r="F125" s="39">
        <v>0</v>
      </c>
      <c r="G125" s="39">
        <v>0</v>
      </c>
      <c r="H125" s="39">
        <v>0</v>
      </c>
      <c r="I125" s="39">
        <v>0</v>
      </c>
      <c r="J125" s="39">
        <v>0</v>
      </c>
      <c r="K125" s="39">
        <v>0</v>
      </c>
      <c r="L125" s="39">
        <v>0</v>
      </c>
      <c r="M125" s="39">
        <v>0</v>
      </c>
      <c r="N125" s="39">
        <v>0</v>
      </c>
      <c r="O125" s="39">
        <v>0</v>
      </c>
      <c r="P125" s="39">
        <v>0</v>
      </c>
      <c r="Q125" s="44"/>
      <c r="R125" s="41"/>
      <c r="S125" s="59">
        <f t="shared" si="49"/>
        <v>0</v>
      </c>
      <c r="T125" s="41"/>
      <c r="U125" s="39"/>
      <c r="V125" s="39"/>
      <c r="W125" s="39"/>
    </row>
    <row r="126" spans="1:23" s="37" customFormat="1" ht="12" x14ac:dyDescent="0.2">
      <c r="A126" s="54"/>
      <c r="B126" s="54" t="s">
        <v>111</v>
      </c>
      <c r="C126" s="54"/>
      <c r="D126" s="55" t="s">
        <v>117</v>
      </c>
      <c r="E126" s="39">
        <v>0</v>
      </c>
      <c r="F126" s="39">
        <v>0</v>
      </c>
      <c r="G126" s="39">
        <v>0</v>
      </c>
      <c r="H126" s="39">
        <v>0</v>
      </c>
      <c r="I126" s="39">
        <v>0</v>
      </c>
      <c r="J126" s="39">
        <v>0</v>
      </c>
      <c r="K126" s="39">
        <v>0</v>
      </c>
      <c r="L126" s="39">
        <v>0</v>
      </c>
      <c r="M126" s="39">
        <v>0</v>
      </c>
      <c r="N126" s="39">
        <v>0</v>
      </c>
      <c r="O126" s="39">
        <v>0</v>
      </c>
      <c r="P126" s="39">
        <v>0</v>
      </c>
      <c r="Q126" s="44"/>
      <c r="R126" s="41"/>
      <c r="S126" s="59">
        <f t="shared" si="49"/>
        <v>0</v>
      </c>
      <c r="T126" s="41"/>
      <c r="U126" s="39"/>
      <c r="V126" s="39"/>
      <c r="W126" s="39"/>
    </row>
    <row r="127" spans="1:23" s="37" customFormat="1" ht="12" x14ac:dyDescent="0.2">
      <c r="A127" s="54"/>
      <c r="B127" s="54" t="s">
        <v>111</v>
      </c>
      <c r="C127" s="54"/>
      <c r="D127" s="55" t="s">
        <v>118</v>
      </c>
      <c r="E127" s="39">
        <v>0</v>
      </c>
      <c r="F127" s="39">
        <v>0</v>
      </c>
      <c r="G127" s="39">
        <v>0</v>
      </c>
      <c r="H127" s="39">
        <v>0</v>
      </c>
      <c r="I127" s="39">
        <v>0</v>
      </c>
      <c r="J127" s="39">
        <v>0</v>
      </c>
      <c r="K127" s="39">
        <v>0</v>
      </c>
      <c r="L127" s="39">
        <v>0</v>
      </c>
      <c r="M127" s="39">
        <v>0</v>
      </c>
      <c r="N127" s="39">
        <v>0</v>
      </c>
      <c r="O127" s="39">
        <v>0</v>
      </c>
      <c r="P127" s="39">
        <v>0</v>
      </c>
      <c r="Q127" s="44"/>
      <c r="R127" s="41"/>
      <c r="S127" s="59">
        <f t="shared" si="49"/>
        <v>0</v>
      </c>
      <c r="T127" s="41"/>
      <c r="U127" s="39"/>
      <c r="V127" s="39"/>
      <c r="W127" s="39"/>
    </row>
    <row r="128" spans="1:23" s="37" customFormat="1" ht="12" x14ac:dyDescent="0.2">
      <c r="A128" s="54"/>
      <c r="B128" s="54" t="s">
        <v>111</v>
      </c>
      <c r="C128" s="54"/>
      <c r="D128" s="55" t="s">
        <v>119</v>
      </c>
      <c r="E128" s="39">
        <f>-'FY23'!Q128</f>
        <v>0</v>
      </c>
      <c r="F128" s="39">
        <v>0</v>
      </c>
      <c r="G128" s="39">
        <v>0</v>
      </c>
      <c r="H128" s="39">
        <v>0</v>
      </c>
      <c r="I128" s="39">
        <v>0</v>
      </c>
      <c r="J128" s="39">
        <v>0</v>
      </c>
      <c r="K128" s="39">
        <v>0</v>
      </c>
      <c r="L128" s="39">
        <v>0</v>
      </c>
      <c r="M128" s="39">
        <v>0</v>
      </c>
      <c r="N128" s="39">
        <v>0</v>
      </c>
      <c r="O128" s="39">
        <v>0</v>
      </c>
      <c r="P128" s="39">
        <v>0</v>
      </c>
      <c r="Q128" s="44"/>
      <c r="R128" s="41"/>
      <c r="S128" s="59">
        <f t="shared" si="49"/>
        <v>0</v>
      </c>
      <c r="T128" s="41"/>
      <c r="U128" s="39"/>
      <c r="V128" s="39"/>
      <c r="W128" s="39"/>
    </row>
    <row r="129" spans="1:23" s="37" customFormat="1" ht="12" x14ac:dyDescent="0.2">
      <c r="A129" s="54"/>
      <c r="B129" s="54" t="s">
        <v>111</v>
      </c>
      <c r="C129" s="54"/>
      <c r="D129" s="55" t="s">
        <v>120</v>
      </c>
      <c r="E129" s="39">
        <v>0</v>
      </c>
      <c r="F129" s="39">
        <v>0</v>
      </c>
      <c r="G129" s="39">
        <v>0</v>
      </c>
      <c r="H129" s="39">
        <v>0</v>
      </c>
      <c r="I129" s="39">
        <v>0</v>
      </c>
      <c r="J129" s="39">
        <v>0</v>
      </c>
      <c r="K129" s="39">
        <v>0</v>
      </c>
      <c r="L129" s="39">
        <v>0</v>
      </c>
      <c r="M129" s="39">
        <v>0</v>
      </c>
      <c r="N129" s="39">
        <v>0</v>
      </c>
      <c r="O129" s="39">
        <v>0</v>
      </c>
      <c r="P129" s="39">
        <v>0</v>
      </c>
      <c r="Q129" s="44"/>
      <c r="R129" s="41"/>
      <c r="S129" s="59">
        <f t="shared" si="49"/>
        <v>0</v>
      </c>
      <c r="T129" s="41"/>
      <c r="U129" s="39"/>
      <c r="V129" s="39"/>
      <c r="W129" s="39"/>
    </row>
    <row r="130" spans="1:23" s="37" customFormat="1" ht="12" x14ac:dyDescent="0.2">
      <c r="A130" s="54"/>
      <c r="B130" s="54" t="s">
        <v>111</v>
      </c>
      <c r="C130" s="54"/>
      <c r="D130" s="55" t="s">
        <v>121</v>
      </c>
      <c r="E130" s="39">
        <v>0</v>
      </c>
      <c r="F130" s="39">
        <v>0</v>
      </c>
      <c r="G130" s="39">
        <v>0</v>
      </c>
      <c r="H130" s="39">
        <v>0</v>
      </c>
      <c r="I130" s="39">
        <v>0</v>
      </c>
      <c r="J130" s="39">
        <v>0</v>
      </c>
      <c r="K130" s="39">
        <v>0</v>
      </c>
      <c r="L130" s="39">
        <v>0</v>
      </c>
      <c r="M130" s="39">
        <v>0</v>
      </c>
      <c r="N130" s="39">
        <v>0</v>
      </c>
      <c r="O130" s="39">
        <v>0</v>
      </c>
      <c r="P130" s="39">
        <v>0</v>
      </c>
      <c r="Q130" s="44"/>
      <c r="R130" s="41"/>
      <c r="S130" s="59">
        <f t="shared" si="49"/>
        <v>0</v>
      </c>
      <c r="T130" s="41"/>
      <c r="U130" s="39"/>
      <c r="V130" s="39"/>
      <c r="W130" s="39"/>
    </row>
    <row r="131" spans="1:23" s="37" customFormat="1" ht="12" x14ac:dyDescent="0.2">
      <c r="A131" s="54"/>
      <c r="B131" s="54" t="s">
        <v>111</v>
      </c>
      <c r="C131" s="54" t="s">
        <v>122</v>
      </c>
      <c r="D131" s="55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44"/>
      <c r="R131" s="41"/>
      <c r="S131" s="59"/>
      <c r="T131" s="41"/>
      <c r="U131" s="39"/>
      <c r="V131" s="39"/>
      <c r="W131" s="39"/>
    </row>
    <row r="132" spans="1:23" s="37" customFormat="1" ht="12" x14ac:dyDescent="0.2">
      <c r="A132" s="54"/>
      <c r="B132" s="54" t="s">
        <v>111</v>
      </c>
      <c r="C132" s="54"/>
      <c r="D132" s="55" t="s">
        <v>123</v>
      </c>
      <c r="E132" s="39">
        <v>0</v>
      </c>
      <c r="F132" s="39">
        <v>0</v>
      </c>
      <c r="G132" s="39">
        <v>0</v>
      </c>
      <c r="H132" s="39">
        <v>0</v>
      </c>
      <c r="I132" s="39">
        <v>0</v>
      </c>
      <c r="J132" s="39">
        <v>0</v>
      </c>
      <c r="K132" s="39">
        <v>0</v>
      </c>
      <c r="L132" s="39">
        <v>0</v>
      </c>
      <c r="M132" s="39">
        <v>0</v>
      </c>
      <c r="N132" s="39">
        <v>0</v>
      </c>
      <c r="O132" s="39">
        <v>0</v>
      </c>
      <c r="P132" s="39">
        <v>0</v>
      </c>
      <c r="Q132" s="44"/>
      <c r="R132" s="41"/>
      <c r="S132" s="59">
        <f t="shared" si="49"/>
        <v>0</v>
      </c>
      <c r="T132" s="41"/>
      <c r="U132" s="39"/>
      <c r="V132" s="39"/>
      <c r="W132" s="39"/>
    </row>
    <row r="133" spans="1:23" s="37" customFormat="1" ht="12" x14ac:dyDescent="0.2">
      <c r="A133" s="54"/>
      <c r="B133" s="54"/>
      <c r="C133" s="54"/>
      <c r="D133" s="54" t="s">
        <v>124</v>
      </c>
      <c r="E133" s="39">
        <v>0</v>
      </c>
      <c r="F133" s="39">
        <v>0</v>
      </c>
      <c r="G133" s="39">
        <v>0</v>
      </c>
      <c r="H133" s="39">
        <v>0</v>
      </c>
      <c r="I133" s="39">
        <v>0</v>
      </c>
      <c r="J133" s="39">
        <v>0</v>
      </c>
      <c r="K133" s="39">
        <v>0</v>
      </c>
      <c r="L133" s="39">
        <v>0</v>
      </c>
      <c r="M133" s="39">
        <v>0</v>
      </c>
      <c r="N133" s="39">
        <v>0</v>
      </c>
      <c r="O133" s="39">
        <v>0</v>
      </c>
      <c r="P133" s="39">
        <v>0</v>
      </c>
      <c r="Q133" s="44"/>
      <c r="R133" s="41"/>
      <c r="S133" s="59">
        <f t="shared" si="49"/>
        <v>0</v>
      </c>
      <c r="T133" s="41"/>
      <c r="U133" s="39"/>
      <c r="V133" s="39"/>
      <c r="W133" s="39"/>
    </row>
    <row r="134" spans="1:23" s="37" customFormat="1" ht="12" x14ac:dyDescent="0.2">
      <c r="A134" s="54"/>
      <c r="B134" s="54"/>
      <c r="C134" s="54" t="s">
        <v>125</v>
      </c>
      <c r="D134" s="54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44"/>
      <c r="R134" s="41"/>
      <c r="S134" s="59"/>
      <c r="T134" s="41"/>
      <c r="U134" s="39"/>
      <c r="V134" s="39"/>
      <c r="W134" s="39"/>
    </row>
    <row r="135" spans="1:23" s="37" customFormat="1" ht="12" x14ac:dyDescent="0.2">
      <c r="A135" s="54"/>
      <c r="B135" s="54"/>
      <c r="C135" s="54"/>
      <c r="D135" s="54" t="s">
        <v>129</v>
      </c>
      <c r="E135" s="39">
        <v>0</v>
      </c>
      <c r="F135" s="39">
        <v>0</v>
      </c>
      <c r="G135" s="39">
        <v>0</v>
      </c>
      <c r="H135" s="39">
        <v>0</v>
      </c>
      <c r="I135" s="39">
        <v>0</v>
      </c>
      <c r="J135" s="39">
        <v>0</v>
      </c>
      <c r="K135" s="39">
        <v>0</v>
      </c>
      <c r="L135" s="39">
        <v>0</v>
      </c>
      <c r="M135" s="39">
        <v>0</v>
      </c>
      <c r="N135" s="39">
        <v>0</v>
      </c>
      <c r="O135" s="39">
        <v>0</v>
      </c>
      <c r="P135" s="39">
        <v>0</v>
      </c>
      <c r="Q135" s="44"/>
      <c r="R135" s="41"/>
      <c r="S135" s="59">
        <f t="shared" si="49"/>
        <v>0</v>
      </c>
      <c r="T135" s="41"/>
      <c r="U135" s="39"/>
      <c r="V135" s="39"/>
      <c r="W135" s="39"/>
    </row>
    <row r="136" spans="1:23" s="37" customFormat="1" ht="12" x14ac:dyDescent="0.2">
      <c r="A136" s="54"/>
      <c r="B136" s="54"/>
      <c r="C136" s="54"/>
      <c r="D136" s="54" t="s">
        <v>130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  <c r="P136" s="42">
        <v>0</v>
      </c>
      <c r="Q136" s="47"/>
      <c r="R136" s="41"/>
      <c r="S136" s="59">
        <f t="shared" si="49"/>
        <v>0</v>
      </c>
      <c r="T136" s="41"/>
      <c r="U136" s="39"/>
      <c r="V136" s="39"/>
      <c r="W136" s="39"/>
    </row>
    <row r="137" spans="1:23" s="37" customFormat="1" ht="12" x14ac:dyDescent="0.2">
      <c r="A137" s="54"/>
      <c r="B137" s="54"/>
      <c r="C137" s="54"/>
      <c r="D137" s="54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41"/>
      <c r="S137" s="40"/>
      <c r="T137" s="41"/>
      <c r="U137" s="39"/>
      <c r="V137" s="39"/>
      <c r="W137" s="39"/>
    </row>
    <row r="138" spans="1:23" s="37" customFormat="1" ht="12" x14ac:dyDescent="0.2">
      <c r="A138" s="54"/>
      <c r="B138" s="54" t="s">
        <v>126</v>
      </c>
      <c r="C138" s="54"/>
      <c r="D138" s="54"/>
      <c r="E138" s="39">
        <f>SUM(E120:E136)</f>
        <v>26877.216957027907</v>
      </c>
      <c r="F138" s="39">
        <f>SUM(F120:F136)</f>
        <v>-29789.709043051989</v>
      </c>
      <c r="G138" s="39">
        <f t="shared" ref="G138:P138" si="51">SUM(G120:G136)</f>
        <v>-23558.250035108038</v>
      </c>
      <c r="H138" s="39">
        <f t="shared" si="51"/>
        <v>59208.521658394398</v>
      </c>
      <c r="I138" s="39">
        <f t="shared" si="51"/>
        <v>-11423.193292028067</v>
      </c>
      <c r="J138" s="39">
        <f t="shared" si="51"/>
        <v>17621.438693335047</v>
      </c>
      <c r="K138" s="39">
        <f t="shared" si="51"/>
        <v>90976.498317668797</v>
      </c>
      <c r="L138" s="39">
        <f t="shared" si="51"/>
        <v>-7365.0914517080237</v>
      </c>
      <c r="M138" s="39">
        <f t="shared" si="51"/>
        <v>14863.24192433196</v>
      </c>
      <c r="N138" s="39">
        <f t="shared" si="51"/>
        <v>84382.699463914381</v>
      </c>
      <c r="O138" s="39">
        <f t="shared" si="51"/>
        <v>26521.393919838272</v>
      </c>
      <c r="P138" s="39">
        <f t="shared" si="51"/>
        <v>94423.61524366602</v>
      </c>
      <c r="Q138" s="39"/>
      <c r="R138" s="41"/>
      <c r="S138" s="40"/>
      <c r="T138" s="41"/>
      <c r="U138" s="39"/>
      <c r="V138" s="39"/>
      <c r="W138" s="39"/>
    </row>
    <row r="139" spans="1:23" s="37" customFormat="1" ht="12" x14ac:dyDescent="0.2">
      <c r="A139" s="54"/>
      <c r="B139" s="54" t="s">
        <v>127</v>
      </c>
      <c r="C139" s="54"/>
      <c r="D139" s="54"/>
      <c r="E139" s="42">
        <f>'FY23'!P141</f>
        <v>336914.60010063893</v>
      </c>
      <c r="F139" s="42">
        <f>E141</f>
        <v>363791.81705766683</v>
      </c>
      <c r="G139" s="42">
        <f t="shared" ref="G139:P139" si="52">F141</f>
        <v>334002.10801461485</v>
      </c>
      <c r="H139" s="42">
        <f t="shared" si="52"/>
        <v>310443.85797950684</v>
      </c>
      <c r="I139" s="42">
        <f t="shared" si="52"/>
        <v>369652.37963790121</v>
      </c>
      <c r="J139" s="42">
        <f t="shared" si="52"/>
        <v>358229.18634587317</v>
      </c>
      <c r="K139" s="42">
        <f t="shared" si="52"/>
        <v>375850.62503920821</v>
      </c>
      <c r="L139" s="42">
        <f t="shared" si="52"/>
        <v>466827.12335687701</v>
      </c>
      <c r="M139" s="42">
        <f t="shared" si="52"/>
        <v>459462.03190516902</v>
      </c>
      <c r="N139" s="42">
        <f t="shared" si="52"/>
        <v>474325.27382950101</v>
      </c>
      <c r="O139" s="42">
        <f t="shared" si="52"/>
        <v>558707.97329341539</v>
      </c>
      <c r="P139" s="42">
        <f t="shared" si="52"/>
        <v>585229.36721325363</v>
      </c>
      <c r="Q139" s="39"/>
      <c r="R139" s="41"/>
      <c r="S139" s="40"/>
      <c r="T139" s="41"/>
      <c r="U139" s="39"/>
      <c r="V139" s="39"/>
      <c r="W139" s="39"/>
    </row>
    <row r="140" spans="1:23" s="37" customFormat="1" ht="12" x14ac:dyDescent="0.2">
      <c r="A140" s="54"/>
      <c r="B140" s="54"/>
      <c r="C140" s="54"/>
      <c r="D140" s="54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41"/>
      <c r="S140" s="40"/>
      <c r="T140" s="41"/>
      <c r="U140" s="39"/>
      <c r="V140" s="39"/>
      <c r="W140" s="39"/>
    </row>
    <row r="141" spans="1:23" s="37" customFormat="1" ht="12.75" thickBot="1" x14ac:dyDescent="0.25">
      <c r="A141" s="53"/>
      <c r="B141" s="53" t="s">
        <v>128</v>
      </c>
      <c r="C141" s="53"/>
      <c r="D141" s="53"/>
      <c r="E141" s="194">
        <f>SUM(E138:E140)</f>
        <v>363791.81705766683</v>
      </c>
      <c r="F141" s="194">
        <f>SUM(F138:F140)</f>
        <v>334002.10801461485</v>
      </c>
      <c r="G141" s="194">
        <f t="shared" ref="G141:P141" si="53">SUM(G138:G140)</f>
        <v>310443.85797950684</v>
      </c>
      <c r="H141" s="194">
        <f t="shared" si="53"/>
        <v>369652.37963790121</v>
      </c>
      <c r="I141" s="194">
        <f t="shared" si="53"/>
        <v>358229.18634587317</v>
      </c>
      <c r="J141" s="194">
        <f t="shared" si="53"/>
        <v>375850.62503920821</v>
      </c>
      <c r="K141" s="194">
        <f t="shared" si="53"/>
        <v>466827.12335687701</v>
      </c>
      <c r="L141" s="194">
        <f t="shared" si="53"/>
        <v>459462.03190516902</v>
      </c>
      <c r="M141" s="194">
        <f t="shared" si="53"/>
        <v>474325.27382950101</v>
      </c>
      <c r="N141" s="194">
        <f t="shared" si="53"/>
        <v>558707.97329341539</v>
      </c>
      <c r="O141" s="194">
        <f t="shared" si="53"/>
        <v>585229.36721325363</v>
      </c>
      <c r="P141" s="194">
        <f t="shared" si="53"/>
        <v>679652.98245691962</v>
      </c>
      <c r="Q141" s="39"/>
      <c r="R141" s="41"/>
      <c r="S141" s="40"/>
      <c r="T141" s="41"/>
      <c r="U141" s="39"/>
      <c r="V141" s="39"/>
      <c r="W141" s="39"/>
    </row>
    <row r="142" spans="1:23" s="37" customFormat="1" ht="12.75" thickTop="1" x14ac:dyDescent="0.2">
      <c r="C142" s="38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41"/>
      <c r="S142" s="40"/>
      <c r="T142" s="41"/>
      <c r="U142" s="39"/>
      <c r="V142" s="39"/>
      <c r="W142" s="39"/>
    </row>
    <row r="143" spans="1:23" s="37" customFormat="1" ht="12" x14ac:dyDescent="0.2">
      <c r="C143" s="38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41"/>
      <c r="S143" s="40"/>
      <c r="T143" s="41"/>
      <c r="U143" s="39"/>
      <c r="V143" s="39"/>
      <c r="W143" s="39"/>
    </row>
    <row r="144" spans="1:23" s="37" customFormat="1" ht="12" x14ac:dyDescent="0.2">
      <c r="C144" s="38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41"/>
      <c r="S144" s="40"/>
      <c r="T144" s="41"/>
      <c r="U144" s="39"/>
      <c r="V144" s="39"/>
      <c r="W144" s="39"/>
    </row>
    <row r="145" spans="3:23" s="37" customFormat="1" ht="12" x14ac:dyDescent="0.2">
      <c r="C145" s="38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41"/>
      <c r="S145" s="40"/>
      <c r="T145" s="41"/>
      <c r="U145" s="39"/>
      <c r="V145" s="39"/>
      <c r="W145" s="39"/>
    </row>
    <row r="146" spans="3:23" s="37" customFormat="1" ht="12" x14ac:dyDescent="0.2">
      <c r="C146" s="38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41"/>
      <c r="S146" s="40"/>
      <c r="T146" s="41"/>
      <c r="U146" s="39"/>
      <c r="V146" s="39"/>
      <c r="W146" s="39"/>
    </row>
    <row r="147" spans="3:23" s="37" customFormat="1" ht="12" x14ac:dyDescent="0.2">
      <c r="C147" s="38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41"/>
      <c r="S147" s="40"/>
      <c r="T147" s="41"/>
      <c r="U147" s="39"/>
      <c r="V147" s="39"/>
      <c r="W147" s="39"/>
    </row>
    <row r="148" spans="3:23" s="37" customFormat="1" ht="12" x14ac:dyDescent="0.2">
      <c r="C148" s="38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41"/>
      <c r="S148" s="40"/>
      <c r="T148" s="41"/>
      <c r="U148" s="39"/>
      <c r="V148" s="39"/>
      <c r="W148" s="39"/>
    </row>
    <row r="149" spans="3:23" s="37" customFormat="1" ht="12" x14ac:dyDescent="0.2">
      <c r="C149" s="38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41"/>
      <c r="S149" s="40"/>
      <c r="T149" s="41"/>
      <c r="U149" s="39"/>
      <c r="V149" s="39"/>
      <c r="W149" s="39"/>
    </row>
    <row r="150" spans="3:23" s="37" customFormat="1" ht="12" x14ac:dyDescent="0.2">
      <c r="C150" s="38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41"/>
      <c r="S150" s="40"/>
      <c r="T150" s="41"/>
      <c r="U150" s="39"/>
      <c r="V150" s="39"/>
      <c r="W150" s="39"/>
    </row>
    <row r="151" spans="3:23" s="37" customFormat="1" ht="12" x14ac:dyDescent="0.2">
      <c r="C151" s="38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41"/>
      <c r="S151" s="40"/>
      <c r="T151" s="41"/>
      <c r="U151" s="39"/>
      <c r="V151" s="39"/>
      <c r="W151" s="39"/>
    </row>
    <row r="152" spans="3:23" s="37" customFormat="1" ht="12" x14ac:dyDescent="0.2">
      <c r="C152" s="38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41"/>
      <c r="S152" s="40"/>
      <c r="T152" s="41"/>
      <c r="U152" s="39"/>
      <c r="V152" s="39"/>
      <c r="W152" s="39"/>
    </row>
    <row r="153" spans="3:23" s="37" customFormat="1" ht="12" x14ac:dyDescent="0.2">
      <c r="C153" s="38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41"/>
      <c r="S153" s="40"/>
      <c r="T153" s="41"/>
      <c r="U153" s="39"/>
      <c r="V153" s="39"/>
      <c r="W153" s="39"/>
    </row>
    <row r="154" spans="3:23" s="37" customFormat="1" ht="12" x14ac:dyDescent="0.2">
      <c r="C154" s="38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41"/>
      <c r="S154" s="40"/>
      <c r="T154" s="41"/>
      <c r="U154" s="39"/>
      <c r="V154" s="39"/>
      <c r="W154" s="39"/>
    </row>
    <row r="155" spans="3:23" s="37" customFormat="1" ht="12" x14ac:dyDescent="0.2">
      <c r="C155" s="38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41"/>
      <c r="S155" s="40"/>
      <c r="T155" s="41"/>
      <c r="U155" s="39"/>
      <c r="V155" s="39"/>
      <c r="W155" s="39"/>
    </row>
    <row r="156" spans="3:23" s="37" customFormat="1" ht="12" x14ac:dyDescent="0.2">
      <c r="C156" s="38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41"/>
      <c r="S156" s="40"/>
      <c r="T156" s="41"/>
      <c r="U156" s="39"/>
      <c r="V156" s="39"/>
      <c r="W156" s="39"/>
    </row>
    <row r="157" spans="3:23" s="37" customFormat="1" ht="12" x14ac:dyDescent="0.2">
      <c r="C157" s="38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41"/>
      <c r="S157" s="40"/>
      <c r="T157" s="41"/>
      <c r="U157" s="39"/>
      <c r="V157" s="39"/>
      <c r="W157" s="39"/>
    </row>
    <row r="158" spans="3:23" s="37" customFormat="1" ht="12" x14ac:dyDescent="0.2">
      <c r="C158" s="38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41"/>
      <c r="S158" s="40"/>
      <c r="T158" s="41"/>
      <c r="U158" s="39"/>
      <c r="V158" s="39"/>
      <c r="W158" s="39"/>
    </row>
    <row r="159" spans="3:23" s="37" customFormat="1" ht="12" x14ac:dyDescent="0.2">
      <c r="C159" s="38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41"/>
      <c r="S159" s="40"/>
      <c r="T159" s="41"/>
      <c r="U159" s="39"/>
      <c r="V159" s="39"/>
      <c r="W159" s="39"/>
    </row>
    <row r="160" spans="3:23" s="37" customFormat="1" ht="12" x14ac:dyDescent="0.2">
      <c r="C160" s="38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41"/>
      <c r="S160" s="40"/>
      <c r="T160" s="41"/>
      <c r="U160" s="39"/>
      <c r="V160" s="39"/>
      <c r="W160" s="39"/>
    </row>
    <row r="161" spans="3:23" s="37" customFormat="1" ht="12" x14ac:dyDescent="0.2">
      <c r="C161" s="38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41"/>
      <c r="S161" s="40"/>
      <c r="T161" s="41"/>
      <c r="U161" s="39"/>
      <c r="V161" s="39"/>
      <c r="W161" s="39"/>
    </row>
    <row r="162" spans="3:23" s="37" customFormat="1" ht="12" x14ac:dyDescent="0.2">
      <c r="C162" s="38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41"/>
      <c r="S162" s="40"/>
      <c r="T162" s="41"/>
      <c r="U162" s="39"/>
      <c r="V162" s="39"/>
      <c r="W162" s="39"/>
    </row>
    <row r="163" spans="3:23" s="37" customFormat="1" ht="12" x14ac:dyDescent="0.2">
      <c r="C163" s="38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41"/>
      <c r="S163" s="40"/>
      <c r="T163" s="41"/>
      <c r="U163" s="39"/>
      <c r="V163" s="39"/>
      <c r="W163" s="39"/>
    </row>
    <row r="164" spans="3:23" s="37" customFormat="1" ht="12" x14ac:dyDescent="0.2">
      <c r="C164" s="38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41"/>
      <c r="S164" s="40"/>
      <c r="T164" s="41"/>
      <c r="U164" s="39"/>
      <c r="V164" s="39"/>
      <c r="W164" s="39"/>
    </row>
    <row r="165" spans="3:23" s="37" customFormat="1" ht="12" x14ac:dyDescent="0.2">
      <c r="C165" s="38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41"/>
      <c r="S165" s="40"/>
      <c r="T165" s="41"/>
      <c r="U165" s="39"/>
      <c r="V165" s="39"/>
      <c r="W165" s="39"/>
    </row>
    <row r="166" spans="3:23" s="37" customFormat="1" ht="12" x14ac:dyDescent="0.2">
      <c r="C166" s="38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41"/>
      <c r="S166" s="40"/>
      <c r="T166" s="41"/>
      <c r="U166" s="39"/>
      <c r="V166" s="39"/>
      <c r="W166" s="39"/>
    </row>
    <row r="167" spans="3:23" s="37" customFormat="1" ht="12" x14ac:dyDescent="0.2">
      <c r="C167" s="38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41"/>
      <c r="S167" s="40"/>
      <c r="T167" s="41"/>
      <c r="U167" s="39"/>
      <c r="V167" s="39"/>
      <c r="W167" s="39"/>
    </row>
    <row r="168" spans="3:23" s="37" customFormat="1" ht="12" x14ac:dyDescent="0.2">
      <c r="C168" s="38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41"/>
      <c r="S168" s="40"/>
      <c r="T168" s="41"/>
      <c r="U168" s="39"/>
      <c r="V168" s="39"/>
      <c r="W168" s="39"/>
    </row>
    <row r="169" spans="3:23" s="37" customFormat="1" ht="12" x14ac:dyDescent="0.2">
      <c r="C169" s="38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41"/>
      <c r="S169" s="40"/>
      <c r="T169" s="41"/>
      <c r="U169" s="39"/>
      <c r="V169" s="39"/>
      <c r="W169" s="39"/>
    </row>
    <row r="170" spans="3:23" s="37" customFormat="1" ht="12" x14ac:dyDescent="0.2">
      <c r="C170" s="38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41"/>
      <c r="S170" s="40"/>
      <c r="T170" s="41"/>
      <c r="U170" s="39"/>
      <c r="V170" s="39"/>
      <c r="W170" s="39"/>
    </row>
    <row r="171" spans="3:23" s="37" customFormat="1" ht="12" x14ac:dyDescent="0.2">
      <c r="C171" s="38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41"/>
      <c r="S171" s="40"/>
      <c r="T171" s="41"/>
      <c r="U171" s="39"/>
      <c r="V171" s="39"/>
      <c r="W171" s="39"/>
    </row>
    <row r="172" spans="3:23" s="37" customFormat="1" ht="12" x14ac:dyDescent="0.2">
      <c r="C172" s="38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41"/>
      <c r="S172" s="40"/>
      <c r="T172" s="41"/>
      <c r="U172" s="39"/>
      <c r="V172" s="39"/>
      <c r="W172" s="39"/>
    </row>
    <row r="173" spans="3:23" s="37" customFormat="1" ht="12" x14ac:dyDescent="0.2">
      <c r="C173" s="38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41"/>
      <c r="S173" s="40"/>
      <c r="T173" s="41"/>
      <c r="U173" s="39"/>
      <c r="V173" s="39"/>
      <c r="W173" s="39"/>
    </row>
    <row r="174" spans="3:23" s="37" customFormat="1" ht="12" x14ac:dyDescent="0.2">
      <c r="C174" s="38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41"/>
      <c r="S174" s="40"/>
      <c r="T174" s="41"/>
      <c r="U174" s="39"/>
      <c r="V174" s="39"/>
      <c r="W174" s="39"/>
    </row>
    <row r="175" spans="3:23" s="37" customFormat="1" ht="12" x14ac:dyDescent="0.2">
      <c r="C175" s="38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41"/>
      <c r="S175" s="40"/>
      <c r="T175" s="41"/>
      <c r="U175" s="39"/>
      <c r="V175" s="39"/>
      <c r="W175" s="39"/>
    </row>
    <row r="176" spans="3:23" s="37" customFormat="1" ht="12" x14ac:dyDescent="0.2">
      <c r="C176" s="38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41"/>
      <c r="S176" s="40"/>
      <c r="T176" s="41"/>
      <c r="U176" s="39"/>
      <c r="V176" s="39"/>
      <c r="W176" s="39"/>
    </row>
    <row r="177" spans="3:23" s="37" customFormat="1" ht="12" x14ac:dyDescent="0.2">
      <c r="C177" s="38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41"/>
      <c r="S177" s="40"/>
      <c r="T177" s="41"/>
      <c r="U177" s="39"/>
      <c r="V177" s="39"/>
      <c r="W177" s="39"/>
    </row>
    <row r="178" spans="3:23" s="37" customFormat="1" ht="12" x14ac:dyDescent="0.2">
      <c r="C178" s="38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41"/>
      <c r="S178" s="40"/>
      <c r="T178" s="41"/>
      <c r="U178" s="39"/>
      <c r="V178" s="39"/>
      <c r="W178" s="39"/>
    </row>
    <row r="179" spans="3:23" s="37" customFormat="1" ht="12" x14ac:dyDescent="0.2">
      <c r="C179" s="38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41"/>
      <c r="S179" s="40"/>
      <c r="T179" s="41"/>
      <c r="U179" s="39"/>
      <c r="V179" s="39"/>
      <c r="W179" s="39"/>
    </row>
    <row r="180" spans="3:23" s="37" customFormat="1" ht="12" x14ac:dyDescent="0.2">
      <c r="C180" s="38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41"/>
      <c r="S180" s="40"/>
      <c r="T180" s="41"/>
      <c r="U180" s="39"/>
      <c r="V180" s="39"/>
      <c r="W180" s="39"/>
    </row>
    <row r="181" spans="3:23" s="37" customFormat="1" ht="12" x14ac:dyDescent="0.2">
      <c r="C181" s="38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41"/>
      <c r="S181" s="40"/>
      <c r="T181" s="41"/>
      <c r="U181" s="39"/>
      <c r="V181" s="39"/>
      <c r="W181" s="39"/>
    </row>
    <row r="182" spans="3:23" s="37" customFormat="1" ht="12" x14ac:dyDescent="0.2">
      <c r="C182" s="38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41"/>
      <c r="S182" s="40"/>
      <c r="T182" s="41"/>
      <c r="U182" s="39"/>
      <c r="V182" s="39"/>
      <c r="W182" s="39"/>
    </row>
    <row r="183" spans="3:23" s="37" customFormat="1" ht="12" x14ac:dyDescent="0.2">
      <c r="C183" s="38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41"/>
      <c r="S183" s="40"/>
      <c r="T183" s="41"/>
      <c r="U183" s="39"/>
      <c r="V183" s="39"/>
      <c r="W183" s="39"/>
    </row>
    <row r="184" spans="3:23" s="37" customFormat="1" ht="12" x14ac:dyDescent="0.2">
      <c r="C184" s="38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41"/>
      <c r="S184" s="40"/>
      <c r="T184" s="41"/>
      <c r="U184" s="39"/>
      <c r="V184" s="39"/>
      <c r="W184" s="39"/>
    </row>
    <row r="185" spans="3:23" s="37" customFormat="1" ht="12" x14ac:dyDescent="0.2">
      <c r="C185" s="38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41"/>
      <c r="S185" s="40"/>
      <c r="T185" s="41"/>
      <c r="U185" s="39"/>
      <c r="V185" s="39"/>
      <c r="W185" s="39"/>
    </row>
    <row r="186" spans="3:23" s="37" customFormat="1" ht="12" x14ac:dyDescent="0.2">
      <c r="C186" s="38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41"/>
      <c r="S186" s="40"/>
      <c r="T186" s="41"/>
      <c r="U186" s="39"/>
      <c r="V186" s="39"/>
      <c r="W186" s="39"/>
    </row>
    <row r="187" spans="3:23" s="37" customFormat="1" ht="12" x14ac:dyDescent="0.2">
      <c r="C187" s="38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41"/>
      <c r="S187" s="40"/>
      <c r="T187" s="41"/>
      <c r="U187" s="39"/>
      <c r="V187" s="39"/>
      <c r="W187" s="39"/>
    </row>
    <row r="188" spans="3:23" s="37" customFormat="1" ht="12" x14ac:dyDescent="0.2">
      <c r="C188" s="38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41"/>
      <c r="S188" s="40"/>
      <c r="T188" s="41"/>
      <c r="U188" s="39"/>
      <c r="V188" s="39"/>
      <c r="W188" s="39"/>
    </row>
    <row r="189" spans="3:23" s="37" customFormat="1" ht="12" x14ac:dyDescent="0.2">
      <c r="C189" s="38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41"/>
      <c r="S189" s="40"/>
      <c r="T189" s="41"/>
      <c r="U189" s="39"/>
      <c r="V189" s="39"/>
      <c r="W189" s="39"/>
    </row>
    <row r="190" spans="3:23" s="37" customFormat="1" ht="12" x14ac:dyDescent="0.2">
      <c r="C190" s="38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41"/>
      <c r="S190" s="40"/>
      <c r="T190" s="41"/>
      <c r="U190" s="39"/>
      <c r="V190" s="39"/>
      <c r="W190" s="39"/>
    </row>
    <row r="191" spans="3:23" s="37" customFormat="1" ht="12" x14ac:dyDescent="0.2">
      <c r="C191" s="38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41"/>
      <c r="S191" s="40"/>
      <c r="T191" s="41"/>
      <c r="U191" s="39"/>
      <c r="V191" s="39"/>
      <c r="W191" s="39"/>
    </row>
    <row r="192" spans="3:23" s="37" customFormat="1" ht="12" x14ac:dyDescent="0.2">
      <c r="C192" s="38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41"/>
      <c r="S192" s="40"/>
      <c r="T192" s="41"/>
      <c r="U192" s="39"/>
      <c r="V192" s="39"/>
      <c r="W192" s="39"/>
    </row>
    <row r="193" spans="3:23" s="37" customFormat="1" ht="12" x14ac:dyDescent="0.2">
      <c r="C193" s="38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41"/>
      <c r="S193" s="40"/>
      <c r="T193" s="41"/>
      <c r="U193" s="39"/>
      <c r="V193" s="39"/>
      <c r="W193" s="39"/>
    </row>
    <row r="194" spans="3:23" s="37" customFormat="1" ht="12" x14ac:dyDescent="0.2">
      <c r="C194" s="38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41"/>
      <c r="S194" s="40"/>
      <c r="T194" s="41"/>
      <c r="U194" s="39"/>
      <c r="V194" s="39"/>
      <c r="W194" s="39"/>
    </row>
    <row r="195" spans="3:23" s="37" customFormat="1" ht="12" x14ac:dyDescent="0.2">
      <c r="C195" s="38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41"/>
      <c r="S195" s="40"/>
      <c r="T195" s="41"/>
      <c r="U195" s="39"/>
      <c r="V195" s="39"/>
      <c r="W195" s="39"/>
    </row>
    <row r="196" spans="3:23" s="37" customFormat="1" ht="12" x14ac:dyDescent="0.2">
      <c r="C196" s="38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41"/>
      <c r="S196" s="40"/>
      <c r="T196" s="41"/>
      <c r="U196" s="39"/>
      <c r="V196" s="39"/>
      <c r="W196" s="39"/>
    </row>
    <row r="197" spans="3:23" s="37" customFormat="1" ht="12" x14ac:dyDescent="0.2">
      <c r="C197" s="38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41"/>
      <c r="S197" s="40"/>
      <c r="T197" s="41"/>
      <c r="U197" s="39"/>
      <c r="V197" s="39"/>
      <c r="W197" s="39"/>
    </row>
    <row r="198" spans="3:23" s="37" customFormat="1" ht="12" x14ac:dyDescent="0.2">
      <c r="C198" s="38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41"/>
      <c r="S198" s="40"/>
      <c r="T198" s="41"/>
      <c r="U198" s="39"/>
      <c r="V198" s="39"/>
      <c r="W198" s="39"/>
    </row>
    <row r="199" spans="3:23" s="37" customFormat="1" ht="12" x14ac:dyDescent="0.2">
      <c r="C199" s="38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41"/>
      <c r="S199" s="40"/>
      <c r="T199" s="41"/>
      <c r="U199" s="39"/>
      <c r="V199" s="39"/>
      <c r="W199" s="39"/>
    </row>
    <row r="200" spans="3:23" s="37" customFormat="1" ht="12" x14ac:dyDescent="0.2">
      <c r="C200" s="38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41"/>
      <c r="S200" s="40"/>
      <c r="T200" s="41"/>
      <c r="U200" s="39"/>
      <c r="V200" s="39"/>
      <c r="W200" s="39"/>
    </row>
    <row r="201" spans="3:23" s="37" customFormat="1" ht="12" x14ac:dyDescent="0.2">
      <c r="C201" s="38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41"/>
      <c r="S201" s="40"/>
      <c r="T201" s="41"/>
      <c r="U201" s="39"/>
      <c r="V201" s="39"/>
      <c r="W201" s="39"/>
    </row>
    <row r="202" spans="3:23" s="37" customFormat="1" ht="12" x14ac:dyDescent="0.2">
      <c r="C202" s="38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41"/>
      <c r="S202" s="40"/>
      <c r="T202" s="41"/>
      <c r="U202" s="39"/>
      <c r="V202" s="39"/>
      <c r="W202" s="39"/>
    </row>
    <row r="203" spans="3:23" s="37" customFormat="1" ht="12" x14ac:dyDescent="0.2">
      <c r="C203" s="38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41"/>
      <c r="S203" s="40"/>
      <c r="T203" s="41"/>
      <c r="U203" s="39"/>
      <c r="V203" s="39"/>
      <c r="W203" s="39"/>
    </row>
    <row r="204" spans="3:23" s="37" customFormat="1" ht="12" x14ac:dyDescent="0.2">
      <c r="C204" s="38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41"/>
      <c r="S204" s="40"/>
      <c r="T204" s="41"/>
      <c r="U204" s="39"/>
      <c r="V204" s="39"/>
      <c r="W204" s="39"/>
    </row>
    <row r="205" spans="3:23" s="37" customFormat="1" ht="12" x14ac:dyDescent="0.2">
      <c r="C205" s="38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41"/>
      <c r="S205" s="40"/>
      <c r="T205" s="41"/>
      <c r="U205" s="39"/>
      <c r="V205" s="39"/>
      <c r="W205" s="39"/>
    </row>
    <row r="206" spans="3:23" s="37" customFormat="1" ht="12" x14ac:dyDescent="0.2">
      <c r="C206" s="38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41"/>
      <c r="S206" s="40"/>
      <c r="T206" s="41"/>
      <c r="U206" s="39"/>
      <c r="V206" s="39"/>
      <c r="W206" s="39"/>
    </row>
    <row r="207" spans="3:23" s="37" customFormat="1" ht="12" x14ac:dyDescent="0.2">
      <c r="C207" s="38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41"/>
      <c r="S207" s="40"/>
      <c r="T207" s="41"/>
      <c r="U207" s="39"/>
      <c r="V207" s="39"/>
      <c r="W207" s="39"/>
    </row>
    <row r="208" spans="3:23" s="37" customFormat="1" ht="12" x14ac:dyDescent="0.2">
      <c r="C208" s="38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41"/>
      <c r="S208" s="40"/>
      <c r="T208" s="41"/>
      <c r="U208" s="39"/>
      <c r="V208" s="39"/>
      <c r="W208" s="39"/>
    </row>
    <row r="209" spans="3:23" s="37" customFormat="1" ht="12" x14ac:dyDescent="0.2">
      <c r="C209" s="38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41"/>
      <c r="S209" s="40"/>
      <c r="T209" s="41"/>
      <c r="U209" s="39"/>
      <c r="V209" s="39"/>
      <c r="W209" s="39"/>
    </row>
    <row r="210" spans="3:23" s="37" customFormat="1" ht="12" x14ac:dyDescent="0.2">
      <c r="C210" s="38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41"/>
      <c r="S210" s="40"/>
      <c r="T210" s="41"/>
      <c r="U210" s="39"/>
      <c r="V210" s="39"/>
      <c r="W210" s="39"/>
    </row>
    <row r="211" spans="3:23" s="37" customFormat="1" ht="12" x14ac:dyDescent="0.2">
      <c r="C211" s="38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41"/>
      <c r="S211" s="40"/>
      <c r="T211" s="41"/>
      <c r="U211" s="39"/>
      <c r="V211" s="39"/>
      <c r="W211" s="39"/>
    </row>
    <row r="212" spans="3:23" s="37" customFormat="1" ht="12" x14ac:dyDescent="0.2">
      <c r="C212" s="38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41"/>
      <c r="S212" s="40"/>
      <c r="T212" s="41"/>
      <c r="U212" s="39"/>
      <c r="V212" s="39"/>
      <c r="W212" s="39"/>
    </row>
    <row r="213" spans="3:23" s="37" customFormat="1" ht="12" x14ac:dyDescent="0.2">
      <c r="C213" s="38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41"/>
      <c r="S213" s="40"/>
      <c r="T213" s="41"/>
      <c r="U213" s="39"/>
      <c r="V213" s="39"/>
      <c r="W213" s="39"/>
    </row>
    <row r="214" spans="3:23" s="37" customFormat="1" ht="12" x14ac:dyDescent="0.2">
      <c r="C214" s="38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41"/>
      <c r="S214" s="40"/>
      <c r="T214" s="41"/>
      <c r="U214" s="39"/>
      <c r="V214" s="39"/>
      <c r="W214" s="39"/>
    </row>
    <row r="215" spans="3:23" s="37" customFormat="1" ht="12" x14ac:dyDescent="0.2">
      <c r="C215" s="38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41"/>
      <c r="S215" s="40"/>
      <c r="T215" s="41"/>
      <c r="U215" s="39"/>
      <c r="V215" s="39"/>
      <c r="W215" s="39"/>
    </row>
    <row r="216" spans="3:23" s="37" customFormat="1" ht="12" x14ac:dyDescent="0.2">
      <c r="C216" s="38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41"/>
      <c r="S216" s="40"/>
      <c r="T216" s="41"/>
      <c r="U216" s="39"/>
      <c r="V216" s="39"/>
      <c r="W216" s="39"/>
    </row>
    <row r="217" spans="3:23" s="37" customFormat="1" ht="12" x14ac:dyDescent="0.2">
      <c r="C217" s="38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41"/>
      <c r="S217" s="40"/>
      <c r="T217" s="41"/>
      <c r="U217" s="39"/>
      <c r="V217" s="39"/>
      <c r="W217" s="39"/>
    </row>
    <row r="218" spans="3:23" s="37" customFormat="1" ht="12" x14ac:dyDescent="0.2">
      <c r="C218" s="38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41"/>
      <c r="S218" s="40"/>
      <c r="T218" s="41"/>
      <c r="U218" s="39"/>
      <c r="V218" s="39"/>
      <c r="W218" s="39"/>
    </row>
    <row r="219" spans="3:23" s="37" customFormat="1" ht="12" x14ac:dyDescent="0.2">
      <c r="C219" s="38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41"/>
      <c r="S219" s="40"/>
      <c r="T219" s="41"/>
      <c r="U219" s="39"/>
      <c r="V219" s="39"/>
      <c r="W219" s="39"/>
    </row>
    <row r="220" spans="3:23" s="37" customFormat="1" ht="12" x14ac:dyDescent="0.2">
      <c r="C220" s="38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41"/>
      <c r="S220" s="40"/>
      <c r="T220" s="41"/>
      <c r="U220" s="39"/>
      <c r="V220" s="39"/>
      <c r="W220" s="39"/>
    </row>
    <row r="221" spans="3:23" s="37" customFormat="1" ht="12" x14ac:dyDescent="0.2">
      <c r="C221" s="38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41"/>
      <c r="S221" s="40"/>
      <c r="T221" s="41"/>
      <c r="U221" s="39"/>
      <c r="V221" s="39"/>
      <c r="W221" s="39"/>
    </row>
    <row r="222" spans="3:23" s="37" customFormat="1" ht="12" x14ac:dyDescent="0.2">
      <c r="C222" s="38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41"/>
      <c r="S222" s="40"/>
      <c r="T222" s="41"/>
      <c r="U222" s="39"/>
      <c r="V222" s="39"/>
      <c r="W222" s="39"/>
    </row>
    <row r="223" spans="3:23" s="37" customFormat="1" ht="12" x14ac:dyDescent="0.2">
      <c r="C223" s="38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41"/>
      <c r="S223" s="40"/>
      <c r="T223" s="41"/>
      <c r="U223" s="39"/>
      <c r="V223" s="39"/>
      <c r="W223" s="39"/>
    </row>
    <row r="224" spans="3:23" s="37" customFormat="1" ht="12" x14ac:dyDescent="0.2">
      <c r="C224" s="38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41"/>
      <c r="S224" s="40"/>
      <c r="T224" s="41"/>
      <c r="U224" s="39"/>
      <c r="V224" s="39"/>
      <c r="W224" s="39"/>
    </row>
    <row r="225" spans="3:23" s="37" customFormat="1" ht="12" x14ac:dyDescent="0.2">
      <c r="C225" s="38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41"/>
      <c r="S225" s="40"/>
      <c r="T225" s="41"/>
      <c r="U225" s="39"/>
      <c r="V225" s="39"/>
      <c r="W225" s="39"/>
    </row>
    <row r="226" spans="3:23" s="37" customFormat="1" ht="12" x14ac:dyDescent="0.2">
      <c r="C226" s="38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41"/>
      <c r="S226" s="40"/>
      <c r="T226" s="41"/>
      <c r="U226" s="39"/>
      <c r="V226" s="39"/>
      <c r="W226" s="39"/>
    </row>
    <row r="227" spans="3:23" s="37" customFormat="1" ht="12" x14ac:dyDescent="0.2">
      <c r="C227" s="38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41"/>
      <c r="S227" s="40"/>
      <c r="T227" s="41"/>
      <c r="U227" s="39"/>
      <c r="V227" s="39"/>
      <c r="W227" s="39"/>
    </row>
    <row r="228" spans="3:23" s="37" customFormat="1" ht="12" x14ac:dyDescent="0.2">
      <c r="C228" s="38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41"/>
      <c r="S228" s="40"/>
      <c r="T228" s="41"/>
      <c r="U228" s="39"/>
      <c r="V228" s="39"/>
      <c r="W228" s="39"/>
    </row>
    <row r="229" spans="3:23" s="37" customFormat="1" ht="12" x14ac:dyDescent="0.2">
      <c r="C229" s="38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41"/>
      <c r="S229" s="40"/>
      <c r="T229" s="41"/>
      <c r="U229" s="39"/>
      <c r="V229" s="39"/>
      <c r="W229" s="39"/>
    </row>
    <row r="230" spans="3:23" s="37" customFormat="1" ht="12" x14ac:dyDescent="0.2">
      <c r="C230" s="38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41"/>
      <c r="S230" s="40"/>
      <c r="T230" s="41"/>
      <c r="U230" s="39"/>
      <c r="V230" s="39"/>
      <c r="W230" s="39"/>
    </row>
    <row r="231" spans="3:23" s="37" customFormat="1" ht="12" x14ac:dyDescent="0.2">
      <c r="C231" s="38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41"/>
      <c r="S231" s="40"/>
      <c r="T231" s="41"/>
      <c r="U231" s="39"/>
      <c r="V231" s="39"/>
      <c r="W231" s="39"/>
    </row>
    <row r="232" spans="3:23" s="37" customFormat="1" ht="12" x14ac:dyDescent="0.2">
      <c r="C232" s="38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41"/>
      <c r="S232" s="40"/>
      <c r="T232" s="41"/>
      <c r="U232" s="39"/>
      <c r="V232" s="39"/>
      <c r="W232" s="39"/>
    </row>
    <row r="233" spans="3:23" s="37" customFormat="1" ht="12" x14ac:dyDescent="0.2">
      <c r="C233" s="38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41"/>
      <c r="S233" s="40"/>
      <c r="T233" s="41"/>
      <c r="U233" s="39"/>
      <c r="V233" s="39"/>
      <c r="W233" s="39"/>
    </row>
    <row r="234" spans="3:23" s="37" customFormat="1" ht="12" x14ac:dyDescent="0.2">
      <c r="C234" s="38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41"/>
      <c r="S234" s="40"/>
      <c r="T234" s="41"/>
      <c r="U234" s="39"/>
      <c r="V234" s="39"/>
      <c r="W234" s="39"/>
    </row>
    <row r="235" spans="3:23" s="37" customFormat="1" ht="12" x14ac:dyDescent="0.2">
      <c r="C235" s="38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41"/>
      <c r="S235" s="40"/>
      <c r="T235" s="41"/>
      <c r="U235" s="39"/>
      <c r="V235" s="39"/>
      <c r="W235" s="39"/>
    </row>
    <row r="236" spans="3:23" s="37" customFormat="1" ht="12" x14ac:dyDescent="0.2">
      <c r="C236" s="38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41"/>
      <c r="S236" s="40"/>
      <c r="T236" s="41"/>
      <c r="U236" s="39"/>
      <c r="V236" s="39"/>
      <c r="W236" s="39"/>
    </row>
    <row r="237" spans="3:23" s="37" customFormat="1" ht="12" x14ac:dyDescent="0.2">
      <c r="C237" s="38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41"/>
      <c r="S237" s="40"/>
      <c r="T237" s="41"/>
      <c r="U237" s="39"/>
      <c r="V237" s="39"/>
      <c r="W237" s="39"/>
    </row>
    <row r="238" spans="3:23" s="37" customFormat="1" ht="12" x14ac:dyDescent="0.2">
      <c r="C238" s="38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41"/>
      <c r="S238" s="40"/>
      <c r="T238" s="41"/>
      <c r="U238" s="39"/>
      <c r="V238" s="39"/>
      <c r="W238" s="39"/>
    </row>
    <row r="239" spans="3:23" s="37" customFormat="1" ht="12" x14ac:dyDescent="0.2">
      <c r="C239" s="38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41"/>
      <c r="S239" s="40"/>
      <c r="T239" s="41"/>
      <c r="U239" s="39"/>
      <c r="V239" s="39"/>
      <c r="W239" s="39"/>
    </row>
    <row r="240" spans="3:23" s="37" customFormat="1" ht="12" x14ac:dyDescent="0.2">
      <c r="C240" s="38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41"/>
      <c r="S240" s="40"/>
      <c r="T240" s="41"/>
      <c r="U240" s="39"/>
      <c r="V240" s="39"/>
      <c r="W240" s="39"/>
    </row>
    <row r="241" spans="3:23" s="37" customFormat="1" ht="12" x14ac:dyDescent="0.2">
      <c r="C241" s="38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41"/>
      <c r="S241" s="40"/>
      <c r="T241" s="41"/>
      <c r="U241" s="39"/>
      <c r="V241" s="39"/>
      <c r="W241" s="39"/>
    </row>
    <row r="242" spans="3:23" s="37" customFormat="1" ht="12" x14ac:dyDescent="0.2">
      <c r="C242" s="38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41"/>
      <c r="S242" s="40"/>
      <c r="T242" s="41"/>
      <c r="U242" s="39"/>
      <c r="V242" s="39"/>
      <c r="W242" s="39"/>
    </row>
    <row r="243" spans="3:23" s="37" customFormat="1" ht="12" x14ac:dyDescent="0.2">
      <c r="C243" s="38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41"/>
      <c r="S243" s="40"/>
      <c r="T243" s="41"/>
      <c r="U243" s="39"/>
      <c r="V243" s="39"/>
      <c r="W243" s="39"/>
    </row>
    <row r="244" spans="3:23" s="37" customFormat="1" ht="12" x14ac:dyDescent="0.2">
      <c r="C244" s="38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41"/>
      <c r="S244" s="40"/>
      <c r="T244" s="41"/>
      <c r="U244" s="39"/>
      <c r="V244" s="39"/>
      <c r="W244" s="39"/>
    </row>
    <row r="245" spans="3:23" s="37" customFormat="1" ht="12" x14ac:dyDescent="0.2">
      <c r="C245" s="38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41"/>
      <c r="S245" s="40"/>
      <c r="T245" s="41"/>
      <c r="U245" s="39"/>
      <c r="V245" s="39"/>
      <c r="W245" s="39"/>
    </row>
    <row r="246" spans="3:23" s="37" customFormat="1" ht="12" x14ac:dyDescent="0.2">
      <c r="C246" s="38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41"/>
      <c r="S246" s="40"/>
      <c r="T246" s="41"/>
      <c r="U246" s="39"/>
      <c r="V246" s="39"/>
      <c r="W246" s="39"/>
    </row>
    <row r="247" spans="3:23" s="37" customFormat="1" ht="12" x14ac:dyDescent="0.2">
      <c r="C247" s="38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41"/>
      <c r="S247" s="40"/>
      <c r="T247" s="41"/>
      <c r="U247" s="39"/>
      <c r="V247" s="39"/>
      <c r="W247" s="39"/>
    </row>
    <row r="248" spans="3:23" s="37" customFormat="1" ht="12" x14ac:dyDescent="0.2">
      <c r="C248" s="38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41"/>
      <c r="S248" s="40"/>
      <c r="T248" s="41"/>
      <c r="U248" s="39"/>
      <c r="V248" s="39"/>
      <c r="W248" s="39"/>
    </row>
    <row r="249" spans="3:23" s="37" customFormat="1" ht="12" x14ac:dyDescent="0.2">
      <c r="C249" s="38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41"/>
      <c r="S249" s="40"/>
      <c r="T249" s="41"/>
      <c r="U249" s="39"/>
      <c r="V249" s="39"/>
      <c r="W249" s="39"/>
    </row>
    <row r="250" spans="3:23" s="37" customFormat="1" ht="12" x14ac:dyDescent="0.2">
      <c r="C250" s="38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41"/>
      <c r="S250" s="40"/>
      <c r="T250" s="41"/>
      <c r="U250" s="39"/>
      <c r="V250" s="39"/>
      <c r="W250" s="39"/>
    </row>
    <row r="251" spans="3:23" s="37" customFormat="1" ht="12" x14ac:dyDescent="0.2">
      <c r="C251" s="38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41"/>
      <c r="S251" s="40"/>
      <c r="T251" s="41"/>
      <c r="U251" s="39"/>
      <c r="V251" s="39"/>
      <c r="W251" s="39"/>
    </row>
    <row r="252" spans="3:23" s="37" customFormat="1" ht="12" x14ac:dyDescent="0.2">
      <c r="C252" s="38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41"/>
      <c r="S252" s="40"/>
      <c r="T252" s="41"/>
      <c r="U252" s="39"/>
      <c r="V252" s="39"/>
      <c r="W252" s="39"/>
    </row>
    <row r="253" spans="3:23" s="37" customFormat="1" ht="12" x14ac:dyDescent="0.2">
      <c r="C253" s="38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41"/>
      <c r="S253" s="40"/>
      <c r="T253" s="41"/>
      <c r="U253" s="39"/>
      <c r="V253" s="39"/>
      <c r="W253" s="39"/>
    </row>
    <row r="254" spans="3:23" s="37" customFormat="1" ht="12" x14ac:dyDescent="0.2">
      <c r="C254" s="38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41"/>
      <c r="S254" s="40"/>
      <c r="T254" s="41"/>
      <c r="U254" s="39"/>
      <c r="V254" s="39"/>
      <c r="W254" s="39"/>
    </row>
    <row r="255" spans="3:23" s="37" customFormat="1" ht="12" x14ac:dyDescent="0.2">
      <c r="C255" s="38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41"/>
      <c r="S255" s="40"/>
      <c r="T255" s="41"/>
      <c r="U255" s="39"/>
      <c r="V255" s="39"/>
      <c r="W255" s="39"/>
    </row>
    <row r="256" spans="3:23" s="37" customFormat="1" ht="12" x14ac:dyDescent="0.2">
      <c r="C256" s="38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41"/>
      <c r="S256" s="40"/>
      <c r="T256" s="41"/>
      <c r="U256" s="39"/>
      <c r="V256" s="39"/>
      <c r="W256" s="39"/>
    </row>
    <row r="257" spans="3:23" s="37" customFormat="1" ht="12" x14ac:dyDescent="0.2">
      <c r="C257" s="38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41"/>
      <c r="S257" s="40"/>
      <c r="T257" s="41"/>
      <c r="U257" s="39"/>
      <c r="V257" s="39"/>
      <c r="W257" s="39"/>
    </row>
    <row r="258" spans="3:23" s="37" customFormat="1" ht="12" x14ac:dyDescent="0.2">
      <c r="C258" s="38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41"/>
      <c r="S258" s="40"/>
      <c r="T258" s="41"/>
      <c r="U258" s="39"/>
      <c r="V258" s="39"/>
      <c r="W258" s="39"/>
    </row>
    <row r="259" spans="3:23" s="37" customFormat="1" ht="12" x14ac:dyDescent="0.2">
      <c r="C259" s="38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41"/>
      <c r="S259" s="40"/>
      <c r="T259" s="41"/>
      <c r="U259" s="39"/>
      <c r="V259" s="39"/>
      <c r="W259" s="39"/>
    </row>
    <row r="260" spans="3:23" s="37" customFormat="1" ht="12" x14ac:dyDescent="0.2">
      <c r="C260" s="38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41"/>
      <c r="S260" s="40"/>
      <c r="T260" s="41"/>
      <c r="U260" s="39"/>
      <c r="V260" s="39"/>
      <c r="W260" s="39"/>
    </row>
    <row r="261" spans="3:23" s="37" customFormat="1" ht="12" x14ac:dyDescent="0.2">
      <c r="C261" s="38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41"/>
      <c r="S261" s="40"/>
      <c r="T261" s="41"/>
      <c r="U261" s="39"/>
      <c r="V261" s="39"/>
      <c r="W261" s="39"/>
    </row>
    <row r="262" spans="3:23" s="37" customFormat="1" ht="12" x14ac:dyDescent="0.2">
      <c r="C262" s="38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41"/>
      <c r="S262" s="40"/>
      <c r="T262" s="41"/>
      <c r="U262" s="39"/>
      <c r="V262" s="39"/>
      <c r="W262" s="39"/>
    </row>
    <row r="263" spans="3:23" s="37" customFormat="1" ht="12" x14ac:dyDescent="0.2">
      <c r="C263" s="38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41"/>
      <c r="S263" s="40"/>
      <c r="T263" s="41"/>
      <c r="U263" s="39"/>
      <c r="V263" s="39"/>
      <c r="W263" s="39"/>
    </row>
    <row r="264" spans="3:23" s="37" customFormat="1" ht="12" x14ac:dyDescent="0.2">
      <c r="C264" s="38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41"/>
      <c r="S264" s="40"/>
      <c r="T264" s="41"/>
      <c r="U264" s="39"/>
      <c r="V264" s="39"/>
      <c r="W264" s="39"/>
    </row>
    <row r="265" spans="3:23" s="37" customFormat="1" ht="12" x14ac:dyDescent="0.2">
      <c r="C265" s="38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41"/>
      <c r="S265" s="40"/>
      <c r="T265" s="41"/>
      <c r="U265" s="39"/>
      <c r="V265" s="39"/>
      <c r="W265" s="39"/>
    </row>
    <row r="266" spans="3:23" s="37" customFormat="1" ht="12" x14ac:dyDescent="0.2">
      <c r="C266" s="38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41"/>
      <c r="S266" s="40"/>
      <c r="T266" s="41"/>
      <c r="U266" s="39"/>
      <c r="V266" s="39"/>
      <c r="W266" s="39"/>
    </row>
    <row r="267" spans="3:23" s="37" customFormat="1" ht="12" x14ac:dyDescent="0.2">
      <c r="C267" s="38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41"/>
      <c r="S267" s="40"/>
      <c r="T267" s="41"/>
      <c r="U267" s="39"/>
      <c r="V267" s="39"/>
      <c r="W267" s="39"/>
    </row>
    <row r="268" spans="3:23" s="37" customFormat="1" ht="12" x14ac:dyDescent="0.2">
      <c r="C268" s="38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41"/>
      <c r="S268" s="40"/>
      <c r="T268" s="41"/>
      <c r="U268" s="39"/>
      <c r="V268" s="39"/>
      <c r="W268" s="39"/>
    </row>
    <row r="269" spans="3:23" s="37" customFormat="1" ht="12" x14ac:dyDescent="0.2">
      <c r="C269" s="38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41"/>
      <c r="S269" s="40"/>
      <c r="T269" s="41"/>
      <c r="U269" s="39"/>
      <c r="V269" s="39"/>
      <c r="W269" s="39"/>
    </row>
    <row r="270" spans="3:23" s="37" customFormat="1" ht="12" x14ac:dyDescent="0.2">
      <c r="C270" s="38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41"/>
      <c r="S270" s="40"/>
      <c r="T270" s="41"/>
      <c r="U270" s="39"/>
      <c r="V270" s="39"/>
      <c r="W270" s="39"/>
    </row>
    <row r="271" spans="3:23" s="37" customFormat="1" ht="12" x14ac:dyDescent="0.2">
      <c r="C271" s="38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41"/>
      <c r="S271" s="40"/>
      <c r="T271" s="41"/>
      <c r="U271" s="39"/>
      <c r="V271" s="39"/>
      <c r="W271" s="39"/>
    </row>
    <row r="272" spans="3:23" s="37" customFormat="1" ht="12" x14ac:dyDescent="0.2">
      <c r="C272" s="38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41"/>
      <c r="S272" s="40"/>
      <c r="T272" s="41"/>
      <c r="U272" s="39"/>
      <c r="V272" s="39"/>
      <c r="W272" s="39"/>
    </row>
    <row r="273" spans="3:23" s="37" customFormat="1" ht="12" x14ac:dyDescent="0.2">
      <c r="C273" s="38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41"/>
      <c r="S273" s="40"/>
      <c r="T273" s="41"/>
      <c r="U273" s="39"/>
      <c r="V273" s="39"/>
      <c r="W273" s="39"/>
    </row>
    <row r="274" spans="3:23" s="37" customFormat="1" ht="12" x14ac:dyDescent="0.2">
      <c r="C274" s="38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41"/>
      <c r="S274" s="40"/>
      <c r="T274" s="41"/>
      <c r="U274" s="39"/>
      <c r="V274" s="39"/>
      <c r="W274" s="39"/>
    </row>
    <row r="275" spans="3:23" s="37" customFormat="1" ht="12" x14ac:dyDescent="0.2">
      <c r="C275" s="38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41"/>
      <c r="S275" s="40"/>
      <c r="T275" s="41"/>
      <c r="U275" s="39"/>
      <c r="V275" s="39"/>
      <c r="W275" s="39"/>
    </row>
    <row r="276" spans="3:23" s="37" customFormat="1" ht="12" x14ac:dyDescent="0.2">
      <c r="C276" s="38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41"/>
      <c r="S276" s="40"/>
      <c r="T276" s="41"/>
      <c r="U276" s="39"/>
      <c r="V276" s="39"/>
      <c r="W276" s="39"/>
    </row>
    <row r="277" spans="3:23" x14ac:dyDescent="0.25"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R277" s="27"/>
      <c r="S277" s="23"/>
      <c r="T277" s="27"/>
      <c r="U277" s="22"/>
      <c r="V277" s="22"/>
      <c r="W277" s="22"/>
    </row>
  </sheetData>
  <sheetProtection algorithmName="SHA-512" hashValue="SjYMzKGF/WKmb23h2gzeZVUclOqPiULqtc2RjxNtDTpZ4Lfm6XS4+Uq++VXw6SV1TTgR2ob+rLihFz79swdzjg==" saltValue="fNyaAiyt6IRwt6DXqIb5yA==" spinCount="100000" sheet="1" objects="1" scenarios="1" selectLockedCells="1"/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1"/>
  </sheetPr>
  <dimension ref="A1:W277"/>
  <sheetViews>
    <sheetView workbookViewId="0">
      <selection sqref="A1:XFD1048576"/>
    </sheetView>
  </sheetViews>
  <sheetFormatPr defaultColWidth="8.85546875" defaultRowHeight="15" x14ac:dyDescent="0.25"/>
  <cols>
    <col min="1" max="2" width="3.140625" style="14" customWidth="1"/>
    <col min="3" max="3" width="7.85546875" style="20" customWidth="1"/>
    <col min="4" max="4" width="31.85546875" style="14" customWidth="1"/>
    <col min="5" max="16" width="9.140625" style="14" bestFit="1" customWidth="1"/>
    <col min="17" max="17" width="8.85546875" style="22"/>
    <col min="18" max="18" width="2.140625" style="28" customWidth="1"/>
    <col min="19" max="19" width="8.85546875" style="21"/>
    <col min="20" max="20" width="2.140625" style="28" customWidth="1"/>
    <col min="21" max="16384" width="8.85546875" style="14"/>
  </cols>
  <sheetData>
    <row r="1" spans="1:23" s="1" customFormat="1" ht="21" x14ac:dyDescent="0.35">
      <c r="A1" s="11" t="str">
        <f>'Rev &amp; Enroll'!$F$5</f>
        <v>Nevada State High School (CSO)</v>
      </c>
      <c r="B1" s="11"/>
      <c r="C1" s="17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4"/>
      <c r="R1" s="24"/>
      <c r="S1" s="3"/>
      <c r="T1" s="29"/>
      <c r="U1" s="2"/>
      <c r="V1" s="2"/>
    </row>
    <row r="2" spans="1:23" s="1" customFormat="1" x14ac:dyDescent="0.25">
      <c r="A2" s="12" t="str">
        <f>CONCATENATE("Monthly Cash Flow/Budget"," ",MYP!M4)</f>
        <v>Monthly Cash Flow/Budget FY25</v>
      </c>
      <c r="B2" s="12"/>
      <c r="C2" s="17"/>
      <c r="D2" s="13"/>
      <c r="E2" s="2"/>
      <c r="F2" s="2"/>
      <c r="G2" s="2"/>
      <c r="H2" s="2"/>
      <c r="I2" s="2"/>
      <c r="J2" s="2"/>
      <c r="M2" s="2"/>
      <c r="N2" s="2"/>
      <c r="O2" s="2"/>
      <c r="Q2" s="8"/>
      <c r="R2" s="25"/>
      <c r="S2" s="2"/>
      <c r="T2" s="29"/>
      <c r="U2" s="4"/>
      <c r="V2" s="4"/>
    </row>
    <row r="3" spans="1:23" s="6" customFormat="1" ht="13.5" customHeight="1" x14ac:dyDescent="0.2">
      <c r="A3" s="5" t="str">
        <f>'FY21'!A3</f>
        <v>Board Approved: Proposed: 4/16/2020</v>
      </c>
      <c r="B3" s="5"/>
      <c r="C3" s="1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8"/>
      <c r="R3" s="25"/>
      <c r="S3" s="7"/>
      <c r="T3" s="31"/>
      <c r="U3" s="7"/>
      <c r="V3" s="7"/>
    </row>
    <row r="4" spans="1:23" s="9" customFormat="1" ht="29.45" customHeight="1" x14ac:dyDescent="0.25">
      <c r="C4" s="19"/>
      <c r="D4" s="10"/>
      <c r="E4" s="33">
        <f>'FY21'!E4+(365*4)</f>
        <v>45473</v>
      </c>
      <c r="F4" s="33">
        <f t="shared" ref="F4:P4" si="0">E4+31</f>
        <v>45504</v>
      </c>
      <c r="G4" s="33">
        <f t="shared" si="0"/>
        <v>45535</v>
      </c>
      <c r="H4" s="33">
        <f t="shared" si="0"/>
        <v>45566</v>
      </c>
      <c r="I4" s="33">
        <f t="shared" si="0"/>
        <v>45597</v>
      </c>
      <c r="J4" s="33">
        <f t="shared" si="0"/>
        <v>45628</v>
      </c>
      <c r="K4" s="33">
        <f t="shared" si="0"/>
        <v>45659</v>
      </c>
      <c r="L4" s="33">
        <f t="shared" si="0"/>
        <v>45690</v>
      </c>
      <c r="M4" s="33">
        <f t="shared" si="0"/>
        <v>45721</v>
      </c>
      <c r="N4" s="33">
        <f t="shared" si="0"/>
        <v>45752</v>
      </c>
      <c r="O4" s="33">
        <f t="shared" si="0"/>
        <v>45783</v>
      </c>
      <c r="P4" s="56">
        <f t="shared" si="0"/>
        <v>45814</v>
      </c>
      <c r="Q4" s="35" t="s">
        <v>54</v>
      </c>
      <c r="R4" s="26"/>
      <c r="S4" s="58" t="s">
        <v>55</v>
      </c>
      <c r="T4" s="32"/>
      <c r="U4" s="33" t="s">
        <v>57</v>
      </c>
      <c r="V4" s="33" t="s">
        <v>56</v>
      </c>
    </row>
    <row r="5" spans="1:23" s="9" customFormat="1" ht="12" x14ac:dyDescent="0.2">
      <c r="C5" s="19"/>
      <c r="D5" s="207" t="s">
        <v>184</v>
      </c>
      <c r="E5" s="323">
        <f>IF(('Rev &amp; Enroll'!$F37*'Rev &amp; Enroll'!$F24)&gt;500000,0.08333,0)</f>
        <v>8.3330000000000001E-2</v>
      </c>
      <c r="F5" s="323">
        <f>IF(('Rev &amp; Enroll'!$F37*'Rev &amp; Enroll'!$F24)&gt;500000,0.08333,0.25)</f>
        <v>8.3330000000000001E-2</v>
      </c>
      <c r="G5" s="323">
        <f>IF(('Rev &amp; Enroll'!$F37*'Rev &amp; Enroll'!$F24)&gt;500000,0.08333,0)</f>
        <v>8.3330000000000001E-2</v>
      </c>
      <c r="H5" s="323">
        <f>IF(('Rev &amp; Enroll'!$F37*'Rev &amp; Enroll'!$F24)&gt;500000,0.08333,0)</f>
        <v>8.3330000000000001E-2</v>
      </c>
      <c r="I5" s="323">
        <f>IF(('Rev &amp; Enroll'!$F37*'Rev &amp; Enroll'!$F24)&gt;500000,0.08333,0.25)</f>
        <v>8.3330000000000001E-2</v>
      </c>
      <c r="J5" s="323">
        <f>IF(('Rev &amp; Enroll'!$F37*'Rev &amp; Enroll'!$F24)&gt;500000,0.08333,0)</f>
        <v>8.3330000000000001E-2</v>
      </c>
      <c r="K5" s="323">
        <f>IF(('Rev &amp; Enroll'!$F37*'Rev &amp; Enroll'!$F24)&gt;500000,0.08333,0)</f>
        <v>8.3330000000000001E-2</v>
      </c>
      <c r="L5" s="323">
        <f>IF(('Rev &amp; Enroll'!$F37*'Rev &amp; Enroll'!$F24)&gt;500000,0.08333,0.25)</f>
        <v>8.3330000000000001E-2</v>
      </c>
      <c r="M5" s="323">
        <f>IF(('Rev &amp; Enroll'!$F37*'Rev &amp; Enroll'!$F24)&gt;500000,0.08333,0)</f>
        <v>8.3330000000000001E-2</v>
      </c>
      <c r="N5" s="323">
        <f>IF(('Rev &amp; Enroll'!$F37*'Rev &amp; Enroll'!$F24)&gt;500000,0.08333,0)</f>
        <v>8.3330000000000001E-2</v>
      </c>
      <c r="O5" s="323">
        <f>IF(('Rev &amp; Enroll'!$F37*'Rev &amp; Enroll'!$F24)&gt;500000,0.08333,0.25)</f>
        <v>8.3330000000000001E-2</v>
      </c>
      <c r="P5" s="323">
        <f>IF(('Rev &amp; Enroll'!$F37*'Rev &amp; Enroll'!$F24)&gt;500000,0.08333,0)</f>
        <v>8.3330000000000001E-2</v>
      </c>
      <c r="Q5" s="221">
        <f>1-SUM(E5:P5)</f>
        <v>3.9999999999928981E-5</v>
      </c>
      <c r="R5" s="41"/>
      <c r="S5" s="59"/>
      <c r="T5" s="41"/>
      <c r="U5" s="39"/>
      <c r="V5" s="39"/>
      <c r="W5" s="32"/>
    </row>
    <row r="6" spans="1:23" s="37" customFormat="1" ht="11.45" customHeight="1" x14ac:dyDescent="0.2">
      <c r="A6" s="45" t="s">
        <v>58</v>
      </c>
      <c r="C6" s="38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6"/>
      <c r="R6" s="41"/>
      <c r="S6" s="59"/>
      <c r="T6" s="41"/>
      <c r="U6" s="39"/>
      <c r="V6" s="39"/>
      <c r="W6" s="39"/>
    </row>
    <row r="7" spans="1:23" s="37" customFormat="1" ht="12" x14ac:dyDescent="0.2">
      <c r="A7" s="45"/>
      <c r="C7" s="49" t="s">
        <v>171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6"/>
      <c r="R7" s="41"/>
      <c r="S7" s="59"/>
      <c r="T7" s="41"/>
      <c r="U7" s="39"/>
      <c r="V7" s="39"/>
      <c r="W7" s="39"/>
    </row>
    <row r="8" spans="1:23" s="37" customFormat="1" ht="12" x14ac:dyDescent="0.2">
      <c r="A8" s="45"/>
      <c r="C8" s="199">
        <v>1110</v>
      </c>
      <c r="D8" s="37" t="s">
        <v>0</v>
      </c>
      <c r="E8" s="180">
        <f>+'FY24'!E8*(1+MYP!$M$8)</f>
        <v>52116.717717674626</v>
      </c>
      <c r="F8" s="180">
        <f>+'FY24'!F8*(1+MYP!$M$8)</f>
        <v>52116.717717674626</v>
      </c>
      <c r="G8" s="180">
        <f>+'FY24'!G8*(1+MYP!$M$8)</f>
        <v>52116.717717674626</v>
      </c>
      <c r="H8" s="180">
        <f>+'FY24'!H8*(1+MYP!$M$8)</f>
        <v>52116.717717674626</v>
      </c>
      <c r="I8" s="180">
        <f>+'FY24'!I8*(1+MYP!$M$8)</f>
        <v>52116.717717674626</v>
      </c>
      <c r="J8" s="180">
        <f>+'FY24'!J8*(1+MYP!$M$8)</f>
        <v>52116.717717674626</v>
      </c>
      <c r="K8" s="180">
        <f>+'FY24'!K8*(1+MYP!$M$8)</f>
        <v>52116.717717674626</v>
      </c>
      <c r="L8" s="180">
        <f>+'FY24'!L8*(1+MYP!$M$8)</f>
        <v>52116.717717674626</v>
      </c>
      <c r="M8" s="180">
        <f>+'FY24'!M8*(1+MYP!$M$8)</f>
        <v>52116.717717674626</v>
      </c>
      <c r="N8" s="180">
        <f>+'FY24'!N8*(1+MYP!$M$8)</f>
        <v>52116.717717674626</v>
      </c>
      <c r="O8" s="180">
        <f>+'FY24'!O8*(1+MYP!$M$8)</f>
        <v>52116.717717674626</v>
      </c>
      <c r="P8" s="180">
        <f>+'FY24'!P8*(1+MYP!$M$8)</f>
        <v>52114.633048965923</v>
      </c>
      <c r="Q8" s="185"/>
      <c r="R8" s="186"/>
      <c r="S8" s="59">
        <f>SUM(E8:P8)</f>
        <v>625398.52794338681</v>
      </c>
      <c r="T8" s="186"/>
      <c r="U8" s="180">
        <f>'FY24'!S8</f>
        <v>591501.44927361899</v>
      </c>
      <c r="V8" s="180">
        <f t="shared" ref="V8:V20" si="1">S8-U8</f>
        <v>33897.078669767827</v>
      </c>
      <c r="W8" s="39"/>
    </row>
    <row r="9" spans="1:23" s="37" customFormat="1" ht="12" x14ac:dyDescent="0.2">
      <c r="A9" s="45"/>
      <c r="C9" s="199">
        <v>1120</v>
      </c>
      <c r="D9" s="37" t="s">
        <v>1</v>
      </c>
      <c r="E9" s="362">
        <f>+'FY24'!E9*(1+MYP!$M$8)</f>
        <v>57249.424765627424</v>
      </c>
      <c r="F9" s="362">
        <f>+'FY24'!F9*(1+MYP!$M$8)</f>
        <v>57249.424765627424</v>
      </c>
      <c r="G9" s="362">
        <f>+'FY24'!G9*(1+MYP!$M$8)</f>
        <v>57249.424765627424</v>
      </c>
      <c r="H9" s="362">
        <f>+'FY24'!H9*(1+MYP!$M$8)</f>
        <v>57249.424765627424</v>
      </c>
      <c r="I9" s="362">
        <f>+'FY24'!I9*(1+MYP!$M$8)</f>
        <v>57249.424765627424</v>
      </c>
      <c r="J9" s="362">
        <f>+'FY24'!J9*(1+MYP!$M$8)</f>
        <v>57249.424765627424</v>
      </c>
      <c r="K9" s="362">
        <f>+'FY24'!K9*(1+MYP!$M$8)</f>
        <v>57249.424765627424</v>
      </c>
      <c r="L9" s="362">
        <f>+'FY24'!L9*(1+MYP!$M$8)</f>
        <v>57249.424765627424</v>
      </c>
      <c r="M9" s="362">
        <f>+'FY24'!M9*(1+MYP!$M$8)</f>
        <v>57249.424765627424</v>
      </c>
      <c r="N9" s="362">
        <f>+'FY24'!N9*(1+MYP!$M$8)</f>
        <v>57249.424765627424</v>
      </c>
      <c r="O9" s="362">
        <f>+'FY24'!O9*(1+MYP!$M$8)</f>
        <v>57249.424765627424</v>
      </c>
      <c r="P9" s="362">
        <f>+'FY24'!P9*(1+MYP!$M$8)</f>
        <v>57247.134788636795</v>
      </c>
      <c r="Q9" s="36"/>
      <c r="R9" s="41"/>
      <c r="S9" s="59">
        <f t="shared" ref="S9:S12" si="2">SUM(E9:P9)</f>
        <v>686990.80721053854</v>
      </c>
      <c r="T9" s="41"/>
      <c r="U9" s="39">
        <f>'FY24'!S9</f>
        <v>649755.37988389935</v>
      </c>
      <c r="V9" s="39">
        <f t="shared" si="1"/>
        <v>37235.427326639183</v>
      </c>
      <c r="W9" s="39"/>
    </row>
    <row r="10" spans="1:23" s="37" customFormat="1" ht="12" x14ac:dyDescent="0.2">
      <c r="A10" s="45"/>
      <c r="C10" s="199">
        <v>1191</v>
      </c>
      <c r="D10" s="37" t="s">
        <v>2</v>
      </c>
      <c r="E10" s="362">
        <f>+'FY24'!E10*(1+MYP!$M$8)</f>
        <v>197.41180953664633</v>
      </c>
      <c r="F10" s="362">
        <f>+'FY24'!F10*(1+MYP!$M$8)</f>
        <v>197.41180953664633</v>
      </c>
      <c r="G10" s="362">
        <f>+'FY24'!G10*(1+MYP!$M$8)</f>
        <v>197.41180953664633</v>
      </c>
      <c r="H10" s="362">
        <f>+'FY24'!H10*(1+MYP!$M$8)</f>
        <v>197.41180953664633</v>
      </c>
      <c r="I10" s="362">
        <f>+'FY24'!I10*(1+MYP!$M$8)</f>
        <v>197.41180953664633</v>
      </c>
      <c r="J10" s="362">
        <f>+'FY24'!J10*(1+MYP!$M$8)</f>
        <v>197.41180953664633</v>
      </c>
      <c r="K10" s="362">
        <f>+'FY24'!K10*(1+MYP!$M$8)</f>
        <v>197.41180953664633</v>
      </c>
      <c r="L10" s="362">
        <f>+'FY24'!L10*(1+MYP!$M$8)</f>
        <v>197.41180953664633</v>
      </c>
      <c r="M10" s="362">
        <f>+'FY24'!M10*(1+MYP!$M$8)</f>
        <v>197.41180953664633</v>
      </c>
      <c r="N10" s="362">
        <f>+'FY24'!N10*(1+MYP!$M$8)</f>
        <v>197.41180953664633</v>
      </c>
      <c r="O10" s="362">
        <f>+'FY24'!O10*(1+MYP!$M$8)</f>
        <v>197.41180953664633</v>
      </c>
      <c r="P10" s="362">
        <f>+'FY24'!P10*(1+MYP!$M$8)</f>
        <v>197.40391306426488</v>
      </c>
      <c r="Q10" s="36"/>
      <c r="R10" s="41"/>
      <c r="S10" s="59">
        <f t="shared" si="2"/>
        <v>2368.933817967375</v>
      </c>
      <c r="T10" s="41"/>
      <c r="U10" s="39">
        <f>'FY24'!S10</f>
        <v>2240.5357927031023</v>
      </c>
      <c r="V10" s="39">
        <f t="shared" si="1"/>
        <v>128.39802526427275</v>
      </c>
      <c r="W10" s="39"/>
    </row>
    <row r="11" spans="1:23" s="37" customFormat="1" ht="12" x14ac:dyDescent="0.2">
      <c r="A11" s="45"/>
      <c r="C11" s="199">
        <v>1192</v>
      </c>
      <c r="D11" s="37" t="s">
        <v>3</v>
      </c>
      <c r="E11" s="362">
        <f>+'FY24'!E11*(1+MYP!$M$8)</f>
        <v>6119.766095636036</v>
      </c>
      <c r="F11" s="362">
        <f>+'FY24'!F11*(1+MYP!$M$8)</f>
        <v>6119.766095636036</v>
      </c>
      <c r="G11" s="362">
        <f>+'FY24'!G11*(1+MYP!$M$8)</f>
        <v>6119.766095636036</v>
      </c>
      <c r="H11" s="362">
        <f>+'FY24'!H11*(1+MYP!$M$8)</f>
        <v>6119.766095636036</v>
      </c>
      <c r="I11" s="362">
        <f>+'FY24'!I11*(1+MYP!$M$8)</f>
        <v>6119.766095636036</v>
      </c>
      <c r="J11" s="362">
        <f>+'FY24'!J11*(1+MYP!$M$8)</f>
        <v>6119.766095636036</v>
      </c>
      <c r="K11" s="362">
        <f>+'FY24'!K11*(1+MYP!$M$8)</f>
        <v>6119.766095636036</v>
      </c>
      <c r="L11" s="362">
        <f>+'FY24'!L11*(1+MYP!$M$8)</f>
        <v>6119.766095636036</v>
      </c>
      <c r="M11" s="362">
        <f>+'FY24'!M11*(1+MYP!$M$8)</f>
        <v>6119.766095636036</v>
      </c>
      <c r="N11" s="362">
        <f>+'FY24'!N11*(1+MYP!$M$8)</f>
        <v>6119.766095636036</v>
      </c>
      <c r="O11" s="362">
        <f>+'FY24'!O11*(1+MYP!$M$8)</f>
        <v>6119.766095636036</v>
      </c>
      <c r="P11" s="362">
        <f>+'FY24'!P11*(1+MYP!$M$8)</f>
        <v>6119.5213049922086</v>
      </c>
      <c r="Q11" s="98"/>
      <c r="R11" s="41"/>
      <c r="S11" s="59">
        <f t="shared" si="2"/>
        <v>73436.948356988592</v>
      </c>
      <c r="T11" s="41"/>
      <c r="U11" s="39">
        <f>'FY24'!S11</f>
        <v>69456.609573796173</v>
      </c>
      <c r="V11" s="39">
        <f t="shared" si="1"/>
        <v>3980.3387831924192</v>
      </c>
      <c r="W11" s="39"/>
    </row>
    <row r="12" spans="1:23" s="37" customFormat="1" ht="12" x14ac:dyDescent="0.2">
      <c r="A12" s="45"/>
      <c r="C12" s="199">
        <v>3110</v>
      </c>
      <c r="D12" s="37" t="s">
        <v>73</v>
      </c>
      <c r="E12" s="362">
        <f>+'FY24'!E12*(1+MYP!$M$8)</f>
        <v>81728.489148171575</v>
      </c>
      <c r="F12" s="362">
        <f>+'FY24'!F12*(1+MYP!$M$8)</f>
        <v>81728.489148171575</v>
      </c>
      <c r="G12" s="362">
        <f>+'FY24'!G12*(1+MYP!$M$8)</f>
        <v>81728.489148171575</v>
      </c>
      <c r="H12" s="362">
        <f>+'FY24'!H12*(1+MYP!$M$8)</f>
        <v>81728.489148171575</v>
      </c>
      <c r="I12" s="362">
        <f>+'FY24'!I12*(1+MYP!$M$8)</f>
        <v>81728.489148171575</v>
      </c>
      <c r="J12" s="362">
        <f>+'FY24'!J12*(1+MYP!$M$8)</f>
        <v>81728.489148171575</v>
      </c>
      <c r="K12" s="362">
        <f>+'FY24'!K12*(1+MYP!$M$8)</f>
        <v>81728.489148171575</v>
      </c>
      <c r="L12" s="362">
        <f>+'FY24'!L12*(1+MYP!$M$8)</f>
        <v>81728.489148171575</v>
      </c>
      <c r="M12" s="362">
        <f>+'FY24'!M12*(1+MYP!$M$8)</f>
        <v>81728.489148171575</v>
      </c>
      <c r="N12" s="362">
        <f>+'FY24'!N12*(1+MYP!$M$8)</f>
        <v>81728.489148171575</v>
      </c>
      <c r="O12" s="362">
        <f>+'FY24'!O12*(1+MYP!$M$8)</f>
        <v>81728.489148171575</v>
      </c>
      <c r="P12" s="362">
        <f>+'FY24'!P12*(1+MYP!$M$8)</f>
        <v>81725.22000860564</v>
      </c>
      <c r="Q12" s="98"/>
      <c r="R12" s="41"/>
      <c r="S12" s="59">
        <f t="shared" si="2"/>
        <v>980738.60063849308</v>
      </c>
      <c r="T12" s="41"/>
      <c r="U12" s="39">
        <f>'FY24'!S12</f>
        <v>927581.8181790841</v>
      </c>
      <c r="V12" s="39">
        <f t="shared" si="1"/>
        <v>53156.782459408976</v>
      </c>
      <c r="W12" s="39"/>
    </row>
    <row r="13" spans="1:23" s="37" customFormat="1" ht="12" x14ac:dyDescent="0.2">
      <c r="A13" s="45"/>
      <c r="C13" s="38"/>
      <c r="E13" s="50">
        <f>SUBTOTAL(9,E8:E12)</f>
        <v>197411.80953664629</v>
      </c>
      <c r="F13" s="50">
        <f t="shared" ref="F13:P13" si="3">SUBTOTAL(9,F8:F12)</f>
        <v>197411.80953664629</v>
      </c>
      <c r="G13" s="50">
        <f t="shared" si="3"/>
        <v>197411.80953664629</v>
      </c>
      <c r="H13" s="50">
        <f t="shared" si="3"/>
        <v>197411.80953664629</v>
      </c>
      <c r="I13" s="50">
        <f t="shared" si="3"/>
        <v>197411.80953664629</v>
      </c>
      <c r="J13" s="50">
        <f t="shared" si="3"/>
        <v>197411.80953664629</v>
      </c>
      <c r="K13" s="50">
        <f t="shared" si="3"/>
        <v>197411.80953664629</v>
      </c>
      <c r="L13" s="50">
        <f t="shared" si="3"/>
        <v>197411.80953664629</v>
      </c>
      <c r="M13" s="50">
        <f t="shared" si="3"/>
        <v>197411.80953664629</v>
      </c>
      <c r="N13" s="50">
        <f t="shared" si="3"/>
        <v>197411.80953664629</v>
      </c>
      <c r="O13" s="50">
        <f t="shared" si="3"/>
        <v>197411.80953664629</v>
      </c>
      <c r="P13" s="50">
        <f t="shared" si="3"/>
        <v>197403.91306426481</v>
      </c>
      <c r="Q13" s="99"/>
      <c r="R13" s="41"/>
      <c r="S13" s="61">
        <f>SUBTOTAL(9,S8:S12)</f>
        <v>2368933.8179673743</v>
      </c>
      <c r="T13" s="41"/>
      <c r="U13" s="50">
        <f t="shared" ref="U13" si="4">SUBTOTAL(9,U8:U12)</f>
        <v>2240535.7927031014</v>
      </c>
      <c r="V13" s="50">
        <f t="shared" ref="V13" si="5">SUBTOTAL(9,V8:V12)</f>
        <v>128398.02526427268</v>
      </c>
      <c r="W13" s="39"/>
    </row>
    <row r="14" spans="1:23" s="37" customFormat="1" ht="12" x14ac:dyDescent="0.2">
      <c r="A14" s="45"/>
      <c r="C14" s="49" t="s">
        <v>170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98"/>
      <c r="R14" s="41"/>
      <c r="S14" s="59"/>
      <c r="T14" s="41"/>
      <c r="U14" s="39"/>
      <c r="V14" s="39"/>
      <c r="W14" s="39"/>
    </row>
    <row r="15" spans="1:23" s="37" customFormat="1" ht="12" x14ac:dyDescent="0.2">
      <c r="A15" s="45"/>
      <c r="C15" s="199">
        <v>3115</v>
      </c>
      <c r="D15" s="37" t="s">
        <v>5</v>
      </c>
      <c r="E15" s="362">
        <f>+'FY24'!E15*(1+MYP!$M$8)</f>
        <v>0</v>
      </c>
      <c r="F15" s="362">
        <f>+'FY24'!F15*(1+MYP!$M$8)</f>
        <v>0</v>
      </c>
      <c r="G15" s="362">
        <f>+'FY24'!G15*(1+MYP!$M$8)</f>
        <v>0</v>
      </c>
      <c r="H15" s="362">
        <f>+'FY24'!H15*(1+MYP!$M$8)</f>
        <v>0</v>
      </c>
      <c r="I15" s="362">
        <f>+'FY24'!I15*(1+MYP!$M$8)</f>
        <v>0</v>
      </c>
      <c r="J15" s="362">
        <f>+'FY24'!J15*(1+MYP!$M$8)</f>
        <v>0</v>
      </c>
      <c r="K15" s="362">
        <f>+'FY24'!K15*(1+MYP!$M$8)</f>
        <v>0</v>
      </c>
      <c r="L15" s="362">
        <f>+'FY24'!L15*(1+MYP!$M$8)</f>
        <v>0</v>
      </c>
      <c r="M15" s="362">
        <f>+'FY24'!M15*(1+MYP!$M$8)</f>
        <v>0</v>
      </c>
      <c r="N15" s="362">
        <f>+'FY24'!N15*(1+MYP!$M$8)</f>
        <v>0</v>
      </c>
      <c r="O15" s="362">
        <f>+'FY24'!O15*(1+MYP!$M$8)</f>
        <v>0</v>
      </c>
      <c r="P15" s="362">
        <f>+'FY24'!P15*(1+MYP!$M$8)</f>
        <v>0</v>
      </c>
      <c r="Q15" s="100"/>
      <c r="R15" s="41"/>
      <c r="S15" s="59">
        <f t="shared" ref="S15:S20" si="6">SUM(E15:Q15)</f>
        <v>0</v>
      </c>
      <c r="T15" s="41"/>
      <c r="U15" s="39">
        <f>'FY24'!S15</f>
        <v>0</v>
      </c>
      <c r="V15" s="39">
        <f t="shared" si="1"/>
        <v>0</v>
      </c>
      <c r="W15" s="39"/>
    </row>
    <row r="16" spans="1:23" s="37" customFormat="1" ht="12" x14ac:dyDescent="0.2">
      <c r="A16" s="45"/>
      <c r="C16" s="199">
        <v>3200</v>
      </c>
      <c r="D16" s="37" t="s">
        <v>6</v>
      </c>
      <c r="E16" s="362">
        <f>+'FY24'!E16*(1+MYP!$M$8)</f>
        <v>0</v>
      </c>
      <c r="F16" s="362">
        <f>+'FY24'!F16*(1+MYP!$M$8)</f>
        <v>0</v>
      </c>
      <c r="G16" s="362">
        <f>+'FY24'!G16*(1+MYP!$M$8)</f>
        <v>0</v>
      </c>
      <c r="H16" s="362">
        <f>+'FY24'!H16*(1+MYP!$M$8)</f>
        <v>0</v>
      </c>
      <c r="I16" s="362">
        <f>+'FY24'!I16*(1+MYP!$M$8)</f>
        <v>0</v>
      </c>
      <c r="J16" s="362">
        <f>+'FY24'!J16*(1+MYP!$M$8)</f>
        <v>0</v>
      </c>
      <c r="K16" s="362">
        <f>+'FY24'!K16*(1+MYP!$M$8)</f>
        <v>0</v>
      </c>
      <c r="L16" s="362">
        <f>+'FY24'!L16*(1+MYP!$M$8)</f>
        <v>0</v>
      </c>
      <c r="M16" s="362">
        <f>+'FY24'!M16*(1+MYP!$M$8)</f>
        <v>0</v>
      </c>
      <c r="N16" s="362">
        <f>+'FY24'!N16*(1+MYP!$M$8)</f>
        <v>0</v>
      </c>
      <c r="O16" s="362">
        <f>+'FY24'!O16*(1+MYP!$M$8)</f>
        <v>0</v>
      </c>
      <c r="P16" s="362">
        <f>+'FY24'!P16*(1+MYP!$M$8)</f>
        <v>0</v>
      </c>
      <c r="Q16" s="100"/>
      <c r="R16" s="41"/>
      <c r="S16" s="59">
        <f t="shared" si="6"/>
        <v>0</v>
      </c>
      <c r="T16" s="41"/>
      <c r="U16" s="39">
        <f>'FY24'!S16</f>
        <v>0</v>
      </c>
      <c r="V16" s="39">
        <f t="shared" si="1"/>
        <v>0</v>
      </c>
      <c r="W16" s="39"/>
    </row>
    <row r="17" spans="1:23" s="37" customFormat="1" ht="12" x14ac:dyDescent="0.2">
      <c r="A17" s="45"/>
      <c r="C17" s="38"/>
      <c r="E17" s="50">
        <f>SUBTOTAL(9,E15:E16)</f>
        <v>0</v>
      </c>
      <c r="F17" s="50">
        <f t="shared" ref="F17:V17" si="7">SUBTOTAL(9,F15:F16)</f>
        <v>0</v>
      </c>
      <c r="G17" s="50">
        <f t="shared" si="7"/>
        <v>0</v>
      </c>
      <c r="H17" s="50">
        <f t="shared" si="7"/>
        <v>0</v>
      </c>
      <c r="I17" s="50">
        <f t="shared" si="7"/>
        <v>0</v>
      </c>
      <c r="J17" s="50">
        <f t="shared" si="7"/>
        <v>0</v>
      </c>
      <c r="K17" s="50">
        <f t="shared" si="7"/>
        <v>0</v>
      </c>
      <c r="L17" s="50">
        <f t="shared" si="7"/>
        <v>0</v>
      </c>
      <c r="M17" s="50">
        <f t="shared" si="7"/>
        <v>0</v>
      </c>
      <c r="N17" s="50">
        <f t="shared" si="7"/>
        <v>0</v>
      </c>
      <c r="O17" s="50">
        <f t="shared" si="7"/>
        <v>0</v>
      </c>
      <c r="P17" s="50">
        <f t="shared" si="7"/>
        <v>0</v>
      </c>
      <c r="Q17" s="99"/>
      <c r="R17" s="41"/>
      <c r="S17" s="61">
        <f t="shared" si="7"/>
        <v>0</v>
      </c>
      <c r="T17" s="41"/>
      <c r="U17" s="50">
        <f t="shared" si="7"/>
        <v>0</v>
      </c>
      <c r="V17" s="50">
        <f t="shared" si="7"/>
        <v>0</v>
      </c>
      <c r="W17" s="39"/>
    </row>
    <row r="18" spans="1:23" s="37" customFormat="1" ht="12" x14ac:dyDescent="0.2">
      <c r="A18" s="45"/>
      <c r="C18" s="49" t="s">
        <v>149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100"/>
      <c r="R18" s="41"/>
      <c r="S18" s="59"/>
      <c r="T18" s="41"/>
      <c r="U18" s="39"/>
      <c r="V18" s="39"/>
      <c r="W18" s="39"/>
    </row>
    <row r="19" spans="1:23" s="37" customFormat="1" ht="12" x14ac:dyDescent="0.2">
      <c r="A19" s="45"/>
      <c r="C19" s="199">
        <v>4500</v>
      </c>
      <c r="D19" s="37" t="s">
        <v>6</v>
      </c>
      <c r="E19" s="362">
        <f>+'FY24'!E19*(1+MYP!$M$8)</f>
        <v>0</v>
      </c>
      <c r="F19" s="362">
        <f>+'FY24'!F19*(1+MYP!$M$8)</f>
        <v>0</v>
      </c>
      <c r="G19" s="362">
        <f>+'FY24'!G19*(1+MYP!$M$8)</f>
        <v>0</v>
      </c>
      <c r="H19" s="362">
        <f>+'FY24'!H19*(1+MYP!$M$8)</f>
        <v>0</v>
      </c>
      <c r="I19" s="362">
        <f>+'FY24'!I19*(1+MYP!$M$8)</f>
        <v>0</v>
      </c>
      <c r="J19" s="362">
        <f>+'FY24'!J19*(1+MYP!$M$8)</f>
        <v>0</v>
      </c>
      <c r="K19" s="362">
        <f>+'FY24'!K19*(1+MYP!$M$8)</f>
        <v>10812.149600388395</v>
      </c>
      <c r="L19" s="362">
        <f>+'FY24'!L19*(1+MYP!$M$8)</f>
        <v>0</v>
      </c>
      <c r="M19" s="362">
        <f>+'FY24'!M19*(1+MYP!$M$8)</f>
        <v>0</v>
      </c>
      <c r="N19" s="362">
        <f>+'FY24'!N19*(1+MYP!$M$8)</f>
        <v>0</v>
      </c>
      <c r="O19" s="362">
        <f>+'FY24'!O19*(1+MYP!$M$8)</f>
        <v>0</v>
      </c>
      <c r="P19" s="362">
        <f>+'FY24'!P19*(1+MYP!$M$8)</f>
        <v>13515.187000485494</v>
      </c>
      <c r="Q19" s="100"/>
      <c r="R19" s="41"/>
      <c r="S19" s="59">
        <f t="shared" si="6"/>
        <v>24327.336600873889</v>
      </c>
      <c r="T19" s="41"/>
      <c r="U19" s="39">
        <f>'FY24'!S19</f>
        <v>23008.776345707451</v>
      </c>
      <c r="V19" s="39">
        <f t="shared" si="1"/>
        <v>1318.5602551664379</v>
      </c>
      <c r="W19" s="39"/>
    </row>
    <row r="20" spans="1:23" s="37" customFormat="1" ht="12" x14ac:dyDescent="0.2">
      <c r="A20" s="45"/>
      <c r="C20" s="199">
        <v>4571</v>
      </c>
      <c r="D20" s="37" t="s">
        <v>7</v>
      </c>
      <c r="E20" s="362">
        <f>+'FY24'!E20*(1+MYP!$M$8)</f>
        <v>0</v>
      </c>
      <c r="F20" s="362">
        <f>+'FY24'!F20*(1+MYP!$M$8)</f>
        <v>0</v>
      </c>
      <c r="G20" s="362">
        <f>+'FY24'!G20*(1+MYP!$M$8)</f>
        <v>0</v>
      </c>
      <c r="H20" s="362">
        <f>+'FY24'!H20*(1+MYP!$M$8)</f>
        <v>0</v>
      </c>
      <c r="I20" s="362">
        <f>+'FY24'!I20*(1+MYP!$M$8)</f>
        <v>0</v>
      </c>
      <c r="J20" s="362">
        <f>+'FY24'!J20*(1+MYP!$M$8)</f>
        <v>2630.0534177544141</v>
      </c>
      <c r="K20" s="362">
        <f>+'FY24'!K20*(1+MYP!$M$8)</f>
        <v>0</v>
      </c>
      <c r="L20" s="362">
        <f>+'FY24'!L20*(1+MYP!$M$8)</f>
        <v>0</v>
      </c>
      <c r="M20" s="362">
        <f>+'FY24'!M20*(1+MYP!$M$8)</f>
        <v>0</v>
      </c>
      <c r="N20" s="362">
        <f>+'FY24'!N20*(1+MYP!$M$8)</f>
        <v>0</v>
      </c>
      <c r="O20" s="362">
        <f>+'FY24'!O20*(1+MYP!$M$8)</f>
        <v>3945.0801266316212</v>
      </c>
      <c r="P20" s="362">
        <f>+'FY24'!P20*(1+MYP!$M$8)</f>
        <v>0</v>
      </c>
      <c r="Q20" s="100"/>
      <c r="R20" s="41"/>
      <c r="S20" s="62">
        <f t="shared" si="6"/>
        <v>6575.1335443860353</v>
      </c>
      <c r="T20" s="41"/>
      <c r="U20" s="41">
        <f>'FY24'!S20</f>
        <v>6218.7562760365017</v>
      </c>
      <c r="V20" s="41">
        <f t="shared" si="1"/>
        <v>356.37726834953355</v>
      </c>
      <c r="W20" s="39"/>
    </row>
    <row r="21" spans="1:23" s="37" customFormat="1" ht="12" x14ac:dyDescent="0.2">
      <c r="A21" s="45"/>
      <c r="C21" s="38">
        <v>4703</v>
      </c>
      <c r="D21" s="37" t="s">
        <v>185</v>
      </c>
      <c r="E21" s="362">
        <f>+'FY24'!E21*(1+MYP!$M$8)</f>
        <v>0</v>
      </c>
      <c r="F21" s="362">
        <f>+'FY24'!F21*(1+MYP!$M$8)</f>
        <v>0</v>
      </c>
      <c r="G21" s="362">
        <f>+'FY24'!G21*(1+MYP!$M$8)</f>
        <v>0</v>
      </c>
      <c r="H21" s="362">
        <f>+'FY24'!H21*(1+MYP!$M$8)</f>
        <v>0</v>
      </c>
      <c r="I21" s="362">
        <f>+'FY24'!I21*(1+MYP!$M$8)</f>
        <v>0</v>
      </c>
      <c r="J21" s="362">
        <f>+'FY24'!J21*(1+MYP!$M$8)</f>
        <v>7717.7208009281721</v>
      </c>
      <c r="K21" s="362">
        <f>+'FY24'!K21*(1+MYP!$M$8)</f>
        <v>0</v>
      </c>
      <c r="L21" s="362">
        <f>+'FY24'!L21*(1+MYP!$M$8)</f>
        <v>0</v>
      </c>
      <c r="M21" s="362">
        <f>+'FY24'!M21*(1+MYP!$M$8)</f>
        <v>0</v>
      </c>
      <c r="N21" s="362">
        <f>+'FY24'!N21*(1+MYP!$M$8)</f>
        <v>0</v>
      </c>
      <c r="O21" s="362">
        <f>+'FY24'!O21*(1+MYP!$M$8)</f>
        <v>7717.7208009281721</v>
      </c>
      <c r="P21" s="362">
        <f>+'FY24'!P21*(1+MYP!$M$8)</f>
        <v>0</v>
      </c>
      <c r="Q21" s="100"/>
      <c r="R21" s="41"/>
      <c r="S21" s="62">
        <f t="shared" ref="S21" si="8">SUM(E21:Q21)</f>
        <v>15435.441601856344</v>
      </c>
      <c r="T21" s="41"/>
      <c r="U21" s="41">
        <f>'FY24'!S21</f>
        <v>14598.828858296934</v>
      </c>
      <c r="V21" s="41">
        <f t="shared" ref="V21" si="9">S21-U21</f>
        <v>836.61274355940986</v>
      </c>
      <c r="W21" s="39"/>
    </row>
    <row r="22" spans="1:23" s="37" customFormat="1" ht="12" x14ac:dyDescent="0.2">
      <c r="A22" s="45"/>
      <c r="C22" s="38"/>
      <c r="E22" s="50">
        <f>SUBTOTAL(9,E19:E21)</f>
        <v>0</v>
      </c>
      <c r="F22" s="50">
        <f t="shared" ref="F22:P22" si="10">SUBTOTAL(9,F19:F21)</f>
        <v>0</v>
      </c>
      <c r="G22" s="50">
        <f t="shared" si="10"/>
        <v>0</v>
      </c>
      <c r="H22" s="50">
        <f t="shared" si="10"/>
        <v>0</v>
      </c>
      <c r="I22" s="50">
        <f t="shared" si="10"/>
        <v>0</v>
      </c>
      <c r="J22" s="50">
        <f t="shared" si="10"/>
        <v>10347.774218682585</v>
      </c>
      <c r="K22" s="50">
        <f t="shared" si="10"/>
        <v>10812.149600388395</v>
      </c>
      <c r="L22" s="50">
        <f t="shared" si="10"/>
        <v>0</v>
      </c>
      <c r="M22" s="50">
        <f t="shared" si="10"/>
        <v>0</v>
      </c>
      <c r="N22" s="50">
        <f t="shared" si="10"/>
        <v>0</v>
      </c>
      <c r="O22" s="50">
        <f t="shared" si="10"/>
        <v>11662.800927559794</v>
      </c>
      <c r="P22" s="50">
        <f t="shared" si="10"/>
        <v>13515.187000485494</v>
      </c>
      <c r="Q22" s="99"/>
      <c r="R22" s="41"/>
      <c r="S22" s="61">
        <f>SUBTOTAL(9,S19:S21)</f>
        <v>46337.911747116268</v>
      </c>
      <c r="T22" s="41"/>
      <c r="U22" s="50">
        <f>SUBTOTAL(9,U19:U21)</f>
        <v>43826.361480040883</v>
      </c>
      <c r="V22" s="50">
        <f>SUBTOTAL(9,V19:V21)</f>
        <v>2511.5502670753813</v>
      </c>
      <c r="W22" s="39"/>
    </row>
    <row r="23" spans="1:23" s="37" customFormat="1" ht="12" x14ac:dyDescent="0.2">
      <c r="A23" s="45"/>
      <c r="C23" s="49" t="s">
        <v>150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100"/>
      <c r="R23" s="41"/>
      <c r="S23" s="62"/>
      <c r="T23" s="41"/>
      <c r="U23" s="41"/>
      <c r="V23" s="41"/>
      <c r="W23" s="39"/>
    </row>
    <row r="24" spans="1:23" s="37" customFormat="1" ht="12" x14ac:dyDescent="0.2">
      <c r="A24" s="45"/>
      <c r="C24" s="199">
        <v>1790</v>
      </c>
      <c r="D24" s="37" t="s">
        <v>4</v>
      </c>
      <c r="E24" s="362">
        <f>+'FY24'!E24*(1+MYP!$M$8)</f>
        <v>0</v>
      </c>
      <c r="F24" s="362">
        <f>+'FY24'!F24*(1+MYP!$M$8)</f>
        <v>0</v>
      </c>
      <c r="G24" s="362">
        <f>+'FY24'!G24*(1+MYP!$M$8)</f>
        <v>0</v>
      </c>
      <c r="H24" s="362">
        <f>+'FY24'!H24*(1+MYP!$M$8)</f>
        <v>117878.99418375285</v>
      </c>
      <c r="I24" s="362">
        <f>+'FY24'!I24*(1+MYP!$M$8)</f>
        <v>0</v>
      </c>
      <c r="J24" s="362">
        <f>+'FY24'!J24*(1+MYP!$M$8)</f>
        <v>0</v>
      </c>
      <c r="K24" s="362">
        <f>+'FY24'!K24*(1+MYP!$M$8)</f>
        <v>117878.99418375285</v>
      </c>
      <c r="L24" s="362">
        <f>+'FY24'!L24*(1+MYP!$M$8)</f>
        <v>0</v>
      </c>
      <c r="M24" s="362">
        <f>+'FY24'!M24*(1+MYP!$M$8)</f>
        <v>0</v>
      </c>
      <c r="N24" s="362">
        <f>+'FY24'!N24*(1+MYP!$M$8)</f>
        <v>117878.99418375285</v>
      </c>
      <c r="O24" s="362">
        <f>+'FY24'!O24*(1+MYP!$M$8)</f>
        <v>0</v>
      </c>
      <c r="P24" s="362">
        <f>+'FY24'!P24*(1+MYP!$M$8)</f>
        <v>117878.99418375285</v>
      </c>
      <c r="Q24" s="100"/>
      <c r="R24" s="41"/>
      <c r="S24" s="59">
        <f>SUM(E24:Q24)</f>
        <v>471515.97673501138</v>
      </c>
      <c r="T24" s="41"/>
      <c r="U24" s="39">
        <f>'FY24'!S24</f>
        <v>445959.45006712963</v>
      </c>
      <c r="V24" s="39">
        <f>S24-U24</f>
        <v>25556.526667881757</v>
      </c>
      <c r="W24" s="39"/>
    </row>
    <row r="25" spans="1:23" s="37" customFormat="1" ht="12" x14ac:dyDescent="0.2">
      <c r="A25" s="45"/>
      <c r="C25" s="38"/>
      <c r="E25" s="50">
        <f>SUBTOTAL(9,E24)</f>
        <v>0</v>
      </c>
      <c r="F25" s="50">
        <f t="shared" ref="F25:S25" si="11">SUBTOTAL(9,F24)</f>
        <v>0</v>
      </c>
      <c r="G25" s="50">
        <f t="shared" si="11"/>
        <v>0</v>
      </c>
      <c r="H25" s="50">
        <f t="shared" si="11"/>
        <v>117878.99418375285</v>
      </c>
      <c r="I25" s="50">
        <f t="shared" si="11"/>
        <v>0</v>
      </c>
      <c r="J25" s="50">
        <f t="shared" si="11"/>
        <v>0</v>
      </c>
      <c r="K25" s="50">
        <f t="shared" si="11"/>
        <v>117878.99418375285</v>
      </c>
      <c r="L25" s="50">
        <f t="shared" si="11"/>
        <v>0</v>
      </c>
      <c r="M25" s="50">
        <f t="shared" si="11"/>
        <v>0</v>
      </c>
      <c r="N25" s="50">
        <f t="shared" si="11"/>
        <v>117878.99418375285</v>
      </c>
      <c r="O25" s="50">
        <f t="shared" si="11"/>
        <v>0</v>
      </c>
      <c r="P25" s="50">
        <f t="shared" si="11"/>
        <v>117878.99418375285</v>
      </c>
      <c r="Q25" s="99"/>
      <c r="R25" s="41"/>
      <c r="S25" s="61">
        <f t="shared" si="11"/>
        <v>471515.97673501138</v>
      </c>
      <c r="T25" s="41"/>
      <c r="U25" s="50">
        <f t="shared" ref="U25" si="12">SUBTOTAL(9,U24)</f>
        <v>445959.45006712963</v>
      </c>
      <c r="V25" s="50">
        <f t="shared" ref="V25" si="13">SUBTOTAL(9,V24)</f>
        <v>25556.526667881757</v>
      </c>
      <c r="W25" s="39"/>
    </row>
    <row r="26" spans="1:23" s="37" customFormat="1" ht="9" customHeight="1" x14ac:dyDescent="0.2">
      <c r="A26" s="45"/>
      <c r="C26" s="38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100"/>
      <c r="R26" s="41"/>
      <c r="S26" s="59"/>
      <c r="T26" s="41"/>
      <c r="U26" s="39"/>
      <c r="V26" s="39"/>
      <c r="W26" s="39"/>
    </row>
    <row r="27" spans="1:23" s="45" customFormat="1" ht="12" x14ac:dyDescent="0.2">
      <c r="A27" s="45" t="s">
        <v>105</v>
      </c>
      <c r="C27" s="46"/>
      <c r="E27" s="43">
        <f t="shared" ref="E27:P27" si="14">SUBTOTAL(9,E8:E26)</f>
        <v>197411.80953664629</v>
      </c>
      <c r="F27" s="43">
        <f t="shared" si="14"/>
        <v>197411.80953664629</v>
      </c>
      <c r="G27" s="43">
        <f t="shared" si="14"/>
        <v>197411.80953664629</v>
      </c>
      <c r="H27" s="43">
        <f t="shared" si="14"/>
        <v>315290.80372039916</v>
      </c>
      <c r="I27" s="43">
        <f t="shared" si="14"/>
        <v>197411.80953664629</v>
      </c>
      <c r="J27" s="43">
        <f t="shared" si="14"/>
        <v>207759.58375532887</v>
      </c>
      <c r="K27" s="43">
        <f t="shared" si="14"/>
        <v>326102.95332078752</v>
      </c>
      <c r="L27" s="43">
        <f t="shared" si="14"/>
        <v>197411.80953664629</v>
      </c>
      <c r="M27" s="43">
        <f t="shared" si="14"/>
        <v>197411.80953664629</v>
      </c>
      <c r="N27" s="43">
        <f t="shared" si="14"/>
        <v>315290.80372039916</v>
      </c>
      <c r="O27" s="43">
        <f t="shared" si="14"/>
        <v>209074.61046420608</v>
      </c>
      <c r="P27" s="43">
        <f t="shared" si="14"/>
        <v>328798.09424850316</v>
      </c>
      <c r="Q27" s="196"/>
      <c r="R27" s="48"/>
      <c r="S27" s="60">
        <f>SUBTOTAL(9,S8:S26)</f>
        <v>2886787.7064495017</v>
      </c>
      <c r="T27" s="48"/>
      <c r="U27" s="43">
        <f>SUBTOTAL(9,U8:U26)</f>
        <v>2730321.6042502718</v>
      </c>
      <c r="V27" s="43">
        <f>SUBTOTAL(9,V8:V26)</f>
        <v>156466.10219922982</v>
      </c>
      <c r="W27" s="40"/>
    </row>
    <row r="28" spans="1:23" s="45" customFormat="1" ht="12" x14ac:dyDescent="0.2">
      <c r="C28" s="46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100"/>
      <c r="R28" s="48"/>
      <c r="S28" s="59"/>
      <c r="T28" s="48"/>
      <c r="U28" s="40"/>
      <c r="V28" s="40"/>
      <c r="W28" s="40"/>
    </row>
    <row r="29" spans="1:23" s="37" customFormat="1" ht="12" x14ac:dyDescent="0.2">
      <c r="A29" s="45" t="s">
        <v>59</v>
      </c>
      <c r="C29" s="3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44"/>
      <c r="R29" s="41"/>
      <c r="S29" s="59"/>
      <c r="T29" s="41"/>
      <c r="U29" s="39"/>
      <c r="V29" s="39"/>
      <c r="W29" s="39"/>
    </row>
    <row r="30" spans="1:23" s="37" customFormat="1" ht="12" x14ac:dyDescent="0.2">
      <c r="C30" s="49" t="s">
        <v>8</v>
      </c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44"/>
      <c r="R30" s="41"/>
      <c r="S30" s="59"/>
      <c r="T30" s="41"/>
      <c r="U30" s="39"/>
      <c r="V30" s="39"/>
      <c r="W30" s="39"/>
    </row>
    <row r="31" spans="1:23" s="37" customFormat="1" ht="12" x14ac:dyDescent="0.2">
      <c r="C31" s="199">
        <v>6111</v>
      </c>
      <c r="D31" s="37" t="s">
        <v>191</v>
      </c>
      <c r="E31" s="39">
        <f>+'FY24'!E31*(1+MYP!$M$9)</f>
        <v>0</v>
      </c>
      <c r="F31" s="39">
        <f>+'FY24'!F31*(1+MYP!$M$9)</f>
        <v>0</v>
      </c>
      <c r="G31" s="39">
        <f>+'FY24'!G31*(1+MYP!$M$9)</f>
        <v>0</v>
      </c>
      <c r="H31" s="39">
        <f>+'FY24'!H31*(1+MYP!$M$9)</f>
        <v>0</v>
      </c>
      <c r="I31" s="39">
        <f>+'FY24'!I31*(1+MYP!$M$9)</f>
        <v>0</v>
      </c>
      <c r="J31" s="39">
        <f>+'FY24'!J31*(1+MYP!$M$9)</f>
        <v>0</v>
      </c>
      <c r="K31" s="39">
        <f>+'FY24'!K31*(1+MYP!$M$9)</f>
        <v>0</v>
      </c>
      <c r="L31" s="39">
        <f>+'FY24'!L31*(1+MYP!$M$9)</f>
        <v>0</v>
      </c>
      <c r="M31" s="39">
        <f>+'FY24'!M31*(1+MYP!$M$9)</f>
        <v>0</v>
      </c>
      <c r="N31" s="39">
        <f>+'FY24'!N31*(1+MYP!$M$9)</f>
        <v>0</v>
      </c>
      <c r="O31" s="39">
        <f>+'FY24'!O31*(1+MYP!$M$9)</f>
        <v>0</v>
      </c>
      <c r="P31" s="39">
        <f>+'FY24'!P31*(1+MYP!$M$9)</f>
        <v>0</v>
      </c>
      <c r="Q31" s="100"/>
      <c r="R31" s="41"/>
      <c r="S31" s="59">
        <f t="shared" ref="S31:S40" si="15">SUM(E31:Q31)</f>
        <v>0</v>
      </c>
      <c r="T31" s="41"/>
      <c r="U31" s="39">
        <f>'FY24'!S31</f>
        <v>0</v>
      </c>
      <c r="V31" s="39">
        <f>U31-S31</f>
        <v>0</v>
      </c>
      <c r="W31" s="39"/>
    </row>
    <row r="32" spans="1:23" s="37" customFormat="1" ht="12" x14ac:dyDescent="0.2">
      <c r="C32" s="199">
        <v>6114</v>
      </c>
      <c r="D32" s="37" t="s">
        <v>192</v>
      </c>
      <c r="E32" s="39">
        <f>+'FY24'!E32*(1+MYP!$M$9)</f>
        <v>44454.379318236002</v>
      </c>
      <c r="F32" s="39">
        <f>+'FY24'!F32*(1+MYP!$M$9)</f>
        <v>44454.379318236002</v>
      </c>
      <c r="G32" s="39">
        <f>+'FY24'!G32*(1+MYP!$M$9)</f>
        <v>44454.379318236002</v>
      </c>
      <c r="H32" s="39">
        <f>+'FY24'!H32*(1+MYP!$M$9)</f>
        <v>44454.379318236002</v>
      </c>
      <c r="I32" s="39">
        <f>+'FY24'!I32*(1+MYP!$M$9)</f>
        <v>44454.379318236002</v>
      </c>
      <c r="J32" s="39">
        <f>+'FY24'!J32*(1+MYP!$M$9)</f>
        <v>44454.379318236002</v>
      </c>
      <c r="K32" s="39">
        <f>+'FY24'!K32*(1+MYP!$M$9)</f>
        <v>44454.379318236002</v>
      </c>
      <c r="L32" s="39">
        <f>+'FY24'!L32*(1+MYP!$M$9)</f>
        <v>44454.379318236002</v>
      </c>
      <c r="M32" s="39">
        <f>+'FY24'!M32*(1+MYP!$M$9)</f>
        <v>44454.379318236002</v>
      </c>
      <c r="N32" s="39">
        <f>+'FY24'!N32*(1+MYP!$M$9)</f>
        <v>44454.379318236002</v>
      </c>
      <c r="O32" s="39">
        <f>+'FY24'!O32*(1+MYP!$M$9)</f>
        <v>44454.379318236002</v>
      </c>
      <c r="P32" s="39">
        <f>+'FY24'!P32*(1+MYP!$M$9)</f>
        <v>44454.379318236002</v>
      </c>
      <c r="Q32" s="100"/>
      <c r="R32" s="41"/>
      <c r="S32" s="59">
        <f t="shared" si="15"/>
        <v>533452.55181883217</v>
      </c>
      <c r="T32" s="41"/>
      <c r="U32" s="39">
        <f>'FY24'!S32</f>
        <v>522992.69786160014</v>
      </c>
      <c r="V32" s="39">
        <f t="shared" ref="V32:V40" si="16">U32-S32</f>
        <v>-10459.85395723203</v>
      </c>
      <c r="W32" s="39"/>
    </row>
    <row r="33" spans="3:23" s="37" customFormat="1" ht="12" x14ac:dyDescent="0.2">
      <c r="C33" s="199">
        <v>6117</v>
      </c>
      <c r="D33" s="37" t="s">
        <v>228</v>
      </c>
      <c r="E33" s="39">
        <f>+'FY24'!E33*(1+MYP!$M$9)</f>
        <v>56822.668424534531</v>
      </c>
      <c r="F33" s="39">
        <f>+'FY24'!F33*(1+MYP!$M$9)</f>
        <v>59745.235256534528</v>
      </c>
      <c r="G33" s="39">
        <f>+'FY24'!G33*(1+MYP!$M$9)</f>
        <v>56822.668424534531</v>
      </c>
      <c r="H33" s="39">
        <f>+'FY24'!H33*(1+MYP!$M$9)</f>
        <v>59745.235256534528</v>
      </c>
      <c r="I33" s="39">
        <f>+'FY24'!I33*(1+MYP!$M$9)</f>
        <v>56822.668424534531</v>
      </c>
      <c r="J33" s="39">
        <f>+'FY24'!J33*(1+MYP!$M$9)</f>
        <v>56822.668424534531</v>
      </c>
      <c r="K33" s="39">
        <f>+'FY24'!K33*(1+MYP!$M$9)</f>
        <v>59745.235256534528</v>
      </c>
      <c r="L33" s="39">
        <f>+'FY24'!L33*(1+MYP!$M$9)</f>
        <v>56822.668424534531</v>
      </c>
      <c r="M33" s="39">
        <f>+'FY24'!M33*(1+MYP!$M$9)</f>
        <v>56822.668424534531</v>
      </c>
      <c r="N33" s="39">
        <f>+'FY24'!N33*(1+MYP!$M$9)</f>
        <v>59745.235256534528</v>
      </c>
      <c r="O33" s="39">
        <f>+'FY24'!O33*(1+MYP!$M$9)</f>
        <v>59745.235256534528</v>
      </c>
      <c r="P33" s="39">
        <f>+'FY24'!P33*(1+MYP!$M$9)</f>
        <v>56822.668424534531</v>
      </c>
      <c r="Q33" s="100"/>
      <c r="R33" s="41"/>
      <c r="S33" s="59">
        <f t="shared" si="15"/>
        <v>696484.85525441437</v>
      </c>
      <c r="T33" s="41"/>
      <c r="U33" s="39">
        <f>'FY24'!S33</f>
        <v>682828.28946511203</v>
      </c>
      <c r="V33" s="39">
        <f t="shared" si="16"/>
        <v>-13656.565789302345</v>
      </c>
      <c r="W33" s="39"/>
    </row>
    <row r="34" spans="3:23" s="37" customFormat="1" ht="12" x14ac:dyDescent="0.2">
      <c r="C34" s="199">
        <v>6127</v>
      </c>
      <c r="D34" s="37" t="s">
        <v>229</v>
      </c>
      <c r="E34" s="39">
        <f>+'FY24'!E34*(1+MYP!$M$9)</f>
        <v>3189.5667648000003</v>
      </c>
      <c r="F34" s="39">
        <f>+'FY24'!F34*(1+MYP!$M$9)</f>
        <v>3189.5667648000003</v>
      </c>
      <c r="G34" s="39">
        <f>+'FY24'!G34*(1+MYP!$M$9)</f>
        <v>3189.5667648000003</v>
      </c>
      <c r="H34" s="39">
        <f>+'FY24'!H34*(1+MYP!$M$9)</f>
        <v>3189.5667648000003</v>
      </c>
      <c r="I34" s="39">
        <f>+'FY24'!I34*(1+MYP!$M$9)</f>
        <v>3189.5667648000003</v>
      </c>
      <c r="J34" s="39">
        <f>+'FY24'!J34*(1+MYP!$M$9)</f>
        <v>3189.5667648000003</v>
      </c>
      <c r="K34" s="39">
        <f>+'FY24'!K34*(1+MYP!$M$9)</f>
        <v>3189.5667648000003</v>
      </c>
      <c r="L34" s="39">
        <f>+'FY24'!L34*(1+MYP!$M$9)</f>
        <v>3189.5667648000003</v>
      </c>
      <c r="M34" s="39">
        <f>+'FY24'!M34*(1+MYP!$M$9)</f>
        <v>3189.5667648000003</v>
      </c>
      <c r="N34" s="39">
        <f>+'FY24'!N34*(1+MYP!$M$9)</f>
        <v>3189.5667648000003</v>
      </c>
      <c r="O34" s="39">
        <f>+'FY24'!O34*(1+MYP!$M$9)</f>
        <v>3189.5667648000003</v>
      </c>
      <c r="P34" s="39">
        <f>+'FY24'!P34*(1+MYP!$M$9)</f>
        <v>3189.5667648000003</v>
      </c>
      <c r="Q34" s="100"/>
      <c r="R34" s="41"/>
      <c r="S34" s="59">
        <f t="shared" si="15"/>
        <v>38274.801177600013</v>
      </c>
      <c r="T34" s="41"/>
      <c r="U34" s="39">
        <f>'FY24'!S34</f>
        <v>37524.314879999998</v>
      </c>
      <c r="V34" s="39">
        <f t="shared" si="16"/>
        <v>-750.48629760001495</v>
      </c>
      <c r="W34" s="39"/>
    </row>
    <row r="35" spans="3:23" s="37" customFormat="1" ht="12" x14ac:dyDescent="0.2">
      <c r="C35" s="199">
        <v>6151</v>
      </c>
      <c r="D35" s="37" t="s">
        <v>189</v>
      </c>
      <c r="E35" s="39">
        <f>+'FY24'!E35*(1+MYP!$M$9)</f>
        <v>0</v>
      </c>
      <c r="F35" s="39">
        <f>+'FY24'!F35*(1+MYP!$M$9)</f>
        <v>0</v>
      </c>
      <c r="G35" s="39">
        <f>+'FY24'!G35*(1+MYP!$M$9)</f>
        <v>0</v>
      </c>
      <c r="H35" s="39">
        <f>+'FY24'!H35*(1+MYP!$M$9)</f>
        <v>0</v>
      </c>
      <c r="I35" s="39">
        <f>+'FY24'!I35*(1+MYP!$M$9)</f>
        <v>0</v>
      </c>
      <c r="J35" s="39">
        <f>+'FY24'!J35*(1+MYP!$M$9)</f>
        <v>0</v>
      </c>
      <c r="K35" s="39">
        <f>+'FY24'!K35*(1+MYP!$M$9)</f>
        <v>0</v>
      </c>
      <c r="L35" s="39">
        <f>+'FY24'!L35*(1+MYP!$M$9)</f>
        <v>0</v>
      </c>
      <c r="M35" s="39">
        <f>+'FY24'!M35*(1+MYP!$M$9)</f>
        <v>0</v>
      </c>
      <c r="N35" s="39">
        <f>+'FY24'!N35*(1+MYP!$M$9)</f>
        <v>0</v>
      </c>
      <c r="O35" s="39">
        <f>+'FY24'!O35*(1+MYP!$M$9)</f>
        <v>0</v>
      </c>
      <c r="P35" s="39">
        <f>+'FY24'!P35*(1+MYP!$M$9)</f>
        <v>0</v>
      </c>
      <c r="Q35" s="100"/>
      <c r="R35" s="41"/>
      <c r="S35" s="59">
        <f t="shared" si="15"/>
        <v>0</v>
      </c>
      <c r="T35" s="41"/>
      <c r="U35" s="39">
        <f>'FY24'!S35</f>
        <v>0</v>
      </c>
      <c r="V35" s="39">
        <f t="shared" si="16"/>
        <v>0</v>
      </c>
      <c r="W35" s="39"/>
    </row>
    <row r="36" spans="3:23" s="37" customFormat="1" ht="12" x14ac:dyDescent="0.2">
      <c r="C36" s="199">
        <v>6154</v>
      </c>
      <c r="D36" s="37" t="s">
        <v>190</v>
      </c>
      <c r="E36" s="39">
        <f>+'FY24'!E36*(1+MYP!$M$9)</f>
        <v>0</v>
      </c>
      <c r="F36" s="39">
        <f>+'FY24'!F36*(1+MYP!$M$9)</f>
        <v>0</v>
      </c>
      <c r="G36" s="39">
        <f>+'FY24'!G36*(1+MYP!$M$9)</f>
        <v>0</v>
      </c>
      <c r="H36" s="39">
        <f>+'FY24'!H36*(1+MYP!$M$9)</f>
        <v>0</v>
      </c>
      <c r="I36" s="39">
        <f>+'FY24'!I36*(1+MYP!$M$9)</f>
        <v>811.82412000000011</v>
      </c>
      <c r="J36" s="39">
        <f>+'FY24'!J36*(1+MYP!$M$9)</f>
        <v>811.82412000000011</v>
      </c>
      <c r="K36" s="39">
        <f>+'FY24'!K36*(1+MYP!$M$9)</f>
        <v>811.82412000000011</v>
      </c>
      <c r="L36" s="39">
        <f>+'FY24'!L36*(1+MYP!$M$9)</f>
        <v>811.82412000000011</v>
      </c>
      <c r="M36" s="39">
        <f>+'FY24'!M36*(1+MYP!$M$9)</f>
        <v>0</v>
      </c>
      <c r="N36" s="39">
        <f>+'FY24'!N36*(1+MYP!$M$9)</f>
        <v>0</v>
      </c>
      <c r="O36" s="39">
        <f>+'FY24'!O36*(1+MYP!$M$9)</f>
        <v>811.82412000000011</v>
      </c>
      <c r="P36" s="39">
        <f>+'FY24'!P36*(1+MYP!$M$9)</f>
        <v>26519.587920000002</v>
      </c>
      <c r="Q36" s="100"/>
      <c r="R36" s="41"/>
      <c r="S36" s="59">
        <f t="shared" si="15"/>
        <v>30578.708520000004</v>
      </c>
      <c r="T36" s="41"/>
      <c r="U36" s="39">
        <f>'FY24'!S36</f>
        <v>29979.126</v>
      </c>
      <c r="V36" s="39">
        <f t="shared" si="16"/>
        <v>-599.58252000000357</v>
      </c>
      <c r="W36" s="39"/>
    </row>
    <row r="37" spans="3:23" s="37" customFormat="1" ht="12" x14ac:dyDescent="0.2">
      <c r="C37" s="199">
        <v>6157</v>
      </c>
      <c r="D37" s="37" t="s">
        <v>230</v>
      </c>
      <c r="E37" s="39">
        <f>+'FY24'!E37*(1+MYP!$M$9)</f>
        <v>0</v>
      </c>
      <c r="F37" s="39">
        <f>+'FY24'!F37*(1+MYP!$M$9)</f>
        <v>1818.4860288000002</v>
      </c>
      <c r="G37" s="39">
        <f>+'FY24'!G37*(1+MYP!$M$9)</f>
        <v>4715.0744889600001</v>
      </c>
      <c r="H37" s="39">
        <f>+'FY24'!H37*(1+MYP!$M$9)</f>
        <v>4812.4933833599998</v>
      </c>
      <c r="I37" s="39">
        <f>+'FY24'!I37*(1+MYP!$M$9)</f>
        <v>5624.317503360001</v>
      </c>
      <c r="J37" s="39">
        <f>+'FY24'!J37*(1+MYP!$M$9)</f>
        <v>2994.0073545599998</v>
      </c>
      <c r="K37" s="39">
        <f>+'FY24'!K37*(1+MYP!$M$9)</f>
        <v>2994.0073545599998</v>
      </c>
      <c r="L37" s="39">
        <f>+'FY24'!L37*(1+MYP!$M$9)</f>
        <v>2084.7643401599998</v>
      </c>
      <c r="M37" s="39">
        <f>+'FY24'!M37*(1+MYP!$M$9)</f>
        <v>4715.0744889600001</v>
      </c>
      <c r="N37" s="39">
        <f>+'FY24'!N37*(1+MYP!$M$9)</f>
        <v>3903.2503689600003</v>
      </c>
      <c r="O37" s="39">
        <f>+'FY24'!O37*(1+MYP!$M$9)</f>
        <v>4448.7961776000002</v>
      </c>
      <c r="P37" s="39">
        <f>+'FY24'!P37*(1+MYP!$M$9)</f>
        <v>0</v>
      </c>
      <c r="Q37" s="100"/>
      <c r="R37" s="41"/>
      <c r="S37" s="59">
        <f t="shared" si="15"/>
        <v>38110.27148928</v>
      </c>
      <c r="T37" s="41"/>
      <c r="U37" s="39">
        <f>'FY24'!S37</f>
        <v>37363.011264000008</v>
      </c>
      <c r="V37" s="39">
        <f t="shared" si="16"/>
        <v>-747.26022527999157</v>
      </c>
      <c r="W37" s="39"/>
    </row>
    <row r="38" spans="3:23" s="37" customFormat="1" ht="12" x14ac:dyDescent="0.2">
      <c r="C38" s="199">
        <v>6161</v>
      </c>
      <c r="D38" s="37" t="s">
        <v>97</v>
      </c>
      <c r="E38" s="39">
        <f>+'FY24'!E38*(1+MYP!$M$9)</f>
        <v>0</v>
      </c>
      <c r="F38" s="39">
        <f>+'FY24'!F38*(1+MYP!$M$9)</f>
        <v>0</v>
      </c>
      <c r="G38" s="39">
        <f>+'FY24'!G38*(1+MYP!$M$9)</f>
        <v>0</v>
      </c>
      <c r="H38" s="39">
        <f>+'FY24'!H38*(1+MYP!$M$9)</f>
        <v>0</v>
      </c>
      <c r="I38" s="39">
        <f>+'FY24'!I38*(1+MYP!$M$9)</f>
        <v>0</v>
      </c>
      <c r="J38" s="39">
        <f>+'FY24'!J38*(1+MYP!$M$9)</f>
        <v>0</v>
      </c>
      <c r="K38" s="39">
        <f>+'FY24'!K38*(1+MYP!$M$9)</f>
        <v>0</v>
      </c>
      <c r="L38" s="39">
        <f>+'FY24'!L38*(1+MYP!$M$9)</f>
        <v>0</v>
      </c>
      <c r="M38" s="39">
        <f>+'FY24'!M38*(1+MYP!$M$9)</f>
        <v>0</v>
      </c>
      <c r="N38" s="39">
        <f>+'FY24'!N38*(1+MYP!$M$9)</f>
        <v>0</v>
      </c>
      <c r="O38" s="39">
        <f>+'FY24'!O38*(1+MYP!$M$9)</f>
        <v>0</v>
      </c>
      <c r="P38" s="39">
        <f>+'FY24'!P38*(1+MYP!$M$9)</f>
        <v>0</v>
      </c>
      <c r="Q38" s="100"/>
      <c r="R38" s="41"/>
      <c r="S38" s="59">
        <f t="shared" si="15"/>
        <v>0</v>
      </c>
      <c r="T38" s="41"/>
      <c r="U38" s="39">
        <f>'FY24'!S38</f>
        <v>0</v>
      </c>
      <c r="V38" s="39">
        <f t="shared" si="16"/>
        <v>0</v>
      </c>
      <c r="W38" s="39"/>
    </row>
    <row r="39" spans="3:23" s="37" customFormat="1" ht="12" x14ac:dyDescent="0.2">
      <c r="C39" s="199">
        <v>6164</v>
      </c>
      <c r="D39" s="37" t="s">
        <v>98</v>
      </c>
      <c r="E39" s="39">
        <f>+'FY24'!E39*(1+MYP!$M$9)</f>
        <v>0</v>
      </c>
      <c r="F39" s="39">
        <f>+'FY24'!F39*(1+MYP!$M$9)</f>
        <v>0</v>
      </c>
      <c r="G39" s="39">
        <f>+'FY24'!G39*(1+MYP!$M$9)</f>
        <v>811.82412000000011</v>
      </c>
      <c r="H39" s="39">
        <f>+'FY24'!H39*(1+MYP!$M$9)</f>
        <v>1082.4321600000001</v>
      </c>
      <c r="I39" s="39">
        <f>+'FY24'!I39*(1+MYP!$M$9)</f>
        <v>811.82412000000011</v>
      </c>
      <c r="J39" s="39">
        <f>+'FY24'!J39*(1+MYP!$M$9)</f>
        <v>1353.0401999999999</v>
      </c>
      <c r="K39" s="39">
        <f>+'FY24'!K39*(1+MYP!$M$9)</f>
        <v>1353.0401999999999</v>
      </c>
      <c r="L39" s="39">
        <f>+'FY24'!L39*(1+MYP!$M$9)</f>
        <v>2164.8643200000001</v>
      </c>
      <c r="M39" s="39">
        <f>+'FY24'!M39*(1+MYP!$M$9)</f>
        <v>2435.4723600000002</v>
      </c>
      <c r="N39" s="39">
        <f>+'FY24'!N39*(1+MYP!$M$9)</f>
        <v>2164.8643200000001</v>
      </c>
      <c r="O39" s="39">
        <f>+'FY24'!O39*(1+MYP!$M$9)</f>
        <v>1353.0401999999999</v>
      </c>
      <c r="P39" s="39">
        <f>+'FY24'!P39*(1+MYP!$M$9)</f>
        <v>0</v>
      </c>
      <c r="Q39" s="100"/>
      <c r="R39" s="41"/>
      <c r="S39" s="59">
        <f t="shared" si="15"/>
        <v>13530.402</v>
      </c>
      <c r="T39" s="41"/>
      <c r="U39" s="39">
        <f>'FY24'!S39</f>
        <v>13265.1</v>
      </c>
      <c r="V39" s="39">
        <f t="shared" si="16"/>
        <v>-265.30199999999968</v>
      </c>
      <c r="W39" s="39"/>
    </row>
    <row r="40" spans="3:23" s="37" customFormat="1" ht="12" x14ac:dyDescent="0.2">
      <c r="C40" s="199">
        <v>6167</v>
      </c>
      <c r="D40" s="37" t="s">
        <v>231</v>
      </c>
      <c r="E40" s="39">
        <f>+'FY24'!E40*(1+MYP!$M$9)</f>
        <v>0</v>
      </c>
      <c r="F40" s="39">
        <f>+'FY24'!F40*(1+MYP!$M$9)</f>
        <v>0</v>
      </c>
      <c r="G40" s="39">
        <f>+'FY24'!G40*(1+MYP!$M$9)</f>
        <v>0</v>
      </c>
      <c r="H40" s="39">
        <f>+'FY24'!H40*(1+MYP!$M$9)</f>
        <v>0</v>
      </c>
      <c r="I40" s="39">
        <f>+'FY24'!I40*(1+MYP!$M$9)</f>
        <v>0</v>
      </c>
      <c r="J40" s="39">
        <f>+'FY24'!J40*(1+MYP!$M$9)</f>
        <v>541.21608000000003</v>
      </c>
      <c r="K40" s="39">
        <f>+'FY24'!K40*(1+MYP!$M$9)</f>
        <v>541.21608000000003</v>
      </c>
      <c r="L40" s="39">
        <f>+'FY24'!L40*(1+MYP!$M$9)</f>
        <v>541.21608000000003</v>
      </c>
      <c r="M40" s="39">
        <f>+'FY24'!M40*(1+MYP!$M$9)</f>
        <v>541.21608000000003</v>
      </c>
      <c r="N40" s="39">
        <f>+'FY24'!N40*(1+MYP!$M$9)</f>
        <v>541.21608000000003</v>
      </c>
      <c r="O40" s="39">
        <f>+'FY24'!O40*(1+MYP!$M$9)</f>
        <v>0</v>
      </c>
      <c r="P40" s="39">
        <f>+'FY24'!P40*(1+MYP!$M$9)</f>
        <v>0</v>
      </c>
      <c r="Q40" s="100"/>
      <c r="R40" s="41"/>
      <c r="S40" s="59">
        <f t="shared" si="15"/>
        <v>2706.0804000000003</v>
      </c>
      <c r="T40" s="41"/>
      <c r="U40" s="39">
        <f>'FY24'!S40</f>
        <v>2653.0200000000004</v>
      </c>
      <c r="V40" s="39">
        <f t="shared" si="16"/>
        <v>-53.060399999999845</v>
      </c>
      <c r="W40" s="39"/>
    </row>
    <row r="41" spans="3:23" s="37" customFormat="1" ht="12" x14ac:dyDescent="0.2">
      <c r="C41" s="38"/>
      <c r="E41" s="50">
        <f t="shared" ref="E41:P41" si="17">SUBTOTAL(9,E31:E40)</f>
        <v>104466.61450757053</v>
      </c>
      <c r="F41" s="50">
        <f t="shared" si="17"/>
        <v>109207.66736837053</v>
      </c>
      <c r="G41" s="50">
        <f t="shared" si="17"/>
        <v>109993.51311653054</v>
      </c>
      <c r="H41" s="50">
        <f t="shared" si="17"/>
        <v>113284.10688293051</v>
      </c>
      <c r="I41" s="50">
        <f t="shared" si="17"/>
        <v>111714.58025093054</v>
      </c>
      <c r="J41" s="50">
        <f t="shared" si="17"/>
        <v>110166.70226213054</v>
      </c>
      <c r="K41" s="50">
        <f t="shared" si="17"/>
        <v>113089.26909413053</v>
      </c>
      <c r="L41" s="50">
        <f t="shared" si="17"/>
        <v>110069.28336773052</v>
      </c>
      <c r="M41" s="50">
        <f t="shared" si="17"/>
        <v>112158.37743653053</v>
      </c>
      <c r="N41" s="50">
        <f t="shared" si="17"/>
        <v>113998.51210853051</v>
      </c>
      <c r="O41" s="50">
        <f t="shared" si="17"/>
        <v>114002.84183717053</v>
      </c>
      <c r="P41" s="50">
        <f t="shared" si="17"/>
        <v>130986.20242757053</v>
      </c>
      <c r="Q41" s="51"/>
      <c r="R41" s="41"/>
      <c r="S41" s="61">
        <f>SUBTOTAL(9,S31:S40)</f>
        <v>1353137.6706601267</v>
      </c>
      <c r="T41" s="41"/>
      <c r="U41" s="50">
        <f>SUBTOTAL(9,U31:U40)</f>
        <v>1326605.5594707122</v>
      </c>
      <c r="V41" s="50">
        <f>SUBTOTAL(9,V31:V40)</f>
        <v>-26532.111189414383</v>
      </c>
      <c r="W41" s="39"/>
    </row>
    <row r="42" spans="3:23" s="37" customFormat="1" ht="12" x14ac:dyDescent="0.2">
      <c r="C42" s="49" t="s">
        <v>99</v>
      </c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44"/>
      <c r="R42" s="41"/>
      <c r="S42" s="59"/>
      <c r="T42" s="41"/>
      <c r="U42" s="39"/>
      <c r="V42" s="39"/>
      <c r="W42" s="39"/>
    </row>
    <row r="43" spans="3:23" s="37" customFormat="1" ht="12" x14ac:dyDescent="0.2">
      <c r="C43" s="199">
        <v>6211</v>
      </c>
      <c r="D43" s="37" t="s">
        <v>198</v>
      </c>
      <c r="E43" s="39">
        <f>+'FY24'!E43*(1+MYP!$M$9)</f>
        <v>0</v>
      </c>
      <c r="F43" s="39">
        <f>+'FY24'!F43*(1+MYP!$M$9)</f>
        <v>0</v>
      </c>
      <c r="G43" s="39">
        <f>+'FY24'!G43*(1+MYP!$M$9)</f>
        <v>0</v>
      </c>
      <c r="H43" s="39">
        <f>+'FY24'!H43*(1+MYP!$M$9)</f>
        <v>0</v>
      </c>
      <c r="I43" s="39">
        <f>+'FY24'!I43*(1+MYP!$M$9)</f>
        <v>0</v>
      </c>
      <c r="J43" s="39">
        <f>+'FY24'!J43*(1+MYP!$M$9)</f>
        <v>0</v>
      </c>
      <c r="K43" s="39">
        <f>+'FY24'!K43*(1+MYP!$M$9)</f>
        <v>0</v>
      </c>
      <c r="L43" s="39">
        <f>+'FY24'!L43*(1+MYP!$M$9)</f>
        <v>0</v>
      </c>
      <c r="M43" s="39">
        <f>+'FY24'!M43*(1+MYP!$M$9)</f>
        <v>0</v>
      </c>
      <c r="N43" s="39">
        <f>+'FY24'!N43*(1+MYP!$M$9)</f>
        <v>0</v>
      </c>
      <c r="O43" s="39">
        <f>+'FY24'!O43*(1+MYP!$M$9)</f>
        <v>0</v>
      </c>
      <c r="P43" s="39">
        <f>+'FY24'!P43*(1+MYP!$M$9)</f>
        <v>0</v>
      </c>
      <c r="Q43" s="36"/>
      <c r="R43" s="41"/>
      <c r="S43" s="59">
        <f t="shared" ref="S43:S61" si="18">SUM(E43:Q43)</f>
        <v>0</v>
      </c>
      <c r="T43" s="41"/>
      <c r="U43" s="39">
        <f>'FY24'!S43</f>
        <v>0</v>
      </c>
      <c r="V43" s="39">
        <f t="shared" ref="V43:V61" si="19">U43-S43</f>
        <v>0</v>
      </c>
      <c r="W43" s="39"/>
    </row>
    <row r="44" spans="3:23" s="37" customFormat="1" ht="12" x14ac:dyDescent="0.2">
      <c r="C44" s="199">
        <v>6214</v>
      </c>
      <c r="D44" s="37" t="s">
        <v>199</v>
      </c>
      <c r="E44" s="39">
        <f>+'FY24'!E44*(1+MYP!$M$9)</f>
        <v>160.19995968000003</v>
      </c>
      <c r="F44" s="39">
        <f>+'FY24'!F44*(1+MYP!$M$9)</f>
        <v>160.19995968000003</v>
      </c>
      <c r="G44" s="39">
        <f>+'FY24'!G44*(1+MYP!$M$9)</f>
        <v>160.19995968000003</v>
      </c>
      <c r="H44" s="39">
        <f>+'FY24'!H44*(1+MYP!$M$9)</f>
        <v>160.19995968000003</v>
      </c>
      <c r="I44" s="39">
        <f>+'FY24'!I44*(1+MYP!$M$9)</f>
        <v>160.19995968000003</v>
      </c>
      <c r="J44" s="39">
        <f>+'FY24'!J44*(1+MYP!$M$9)</f>
        <v>160.19995968000003</v>
      </c>
      <c r="K44" s="39">
        <f>+'FY24'!K44*(1+MYP!$M$9)</f>
        <v>160.19995968000003</v>
      </c>
      <c r="L44" s="39">
        <f>+'FY24'!L44*(1+MYP!$M$9)</f>
        <v>160.19995968000003</v>
      </c>
      <c r="M44" s="39">
        <f>+'FY24'!M44*(1+MYP!$M$9)</f>
        <v>160.19995968000003</v>
      </c>
      <c r="N44" s="39">
        <f>+'FY24'!N44*(1+MYP!$M$9)</f>
        <v>160.19995968000003</v>
      </c>
      <c r="O44" s="39">
        <f>+'FY24'!O44*(1+MYP!$M$9)</f>
        <v>160.19995968000003</v>
      </c>
      <c r="P44" s="39">
        <f>+'FY24'!P44*(1+MYP!$M$9)</f>
        <v>160.19995968000003</v>
      </c>
      <c r="Q44" s="36"/>
      <c r="R44" s="41"/>
      <c r="S44" s="59">
        <f t="shared" si="18"/>
        <v>1922.3995161600008</v>
      </c>
      <c r="T44" s="41"/>
      <c r="U44" s="39">
        <f>'FY24'!S44</f>
        <v>1884.7054080000005</v>
      </c>
      <c r="V44" s="39">
        <f t="shared" si="19"/>
        <v>-37.694108160000269</v>
      </c>
      <c r="W44" s="39"/>
    </row>
    <row r="45" spans="3:23" s="37" customFormat="1" ht="12" x14ac:dyDescent="0.2">
      <c r="C45" s="199">
        <v>6217</v>
      </c>
      <c r="D45" s="37" t="s">
        <v>222</v>
      </c>
      <c r="E45" s="39">
        <f>+'FY24'!E45*(1+MYP!$M$9)</f>
        <v>360.72582336000005</v>
      </c>
      <c r="F45" s="39">
        <f>+'FY24'!F45*(1+MYP!$M$9)</f>
        <v>360.72582336000005</v>
      </c>
      <c r="G45" s="39">
        <f>+'FY24'!G45*(1+MYP!$M$9)</f>
        <v>360.72582336000005</v>
      </c>
      <c r="H45" s="39">
        <f>+'FY24'!H45*(1+MYP!$M$9)</f>
        <v>360.72582336000005</v>
      </c>
      <c r="I45" s="39">
        <f>+'FY24'!I45*(1+MYP!$M$9)</f>
        <v>360.72582336000005</v>
      </c>
      <c r="J45" s="39">
        <f>+'FY24'!J45*(1+MYP!$M$9)</f>
        <v>360.72582336000005</v>
      </c>
      <c r="K45" s="39">
        <f>+'FY24'!K45*(1+MYP!$M$9)</f>
        <v>360.72582336000005</v>
      </c>
      <c r="L45" s="39">
        <f>+'FY24'!L45*(1+MYP!$M$9)</f>
        <v>360.72582336000005</v>
      </c>
      <c r="M45" s="39">
        <f>+'FY24'!M45*(1+MYP!$M$9)</f>
        <v>360.72582336000005</v>
      </c>
      <c r="N45" s="39">
        <f>+'FY24'!N45*(1+MYP!$M$9)</f>
        <v>360.72582336000005</v>
      </c>
      <c r="O45" s="39">
        <f>+'FY24'!O45*(1+MYP!$M$9)</f>
        <v>360.72582336000005</v>
      </c>
      <c r="P45" s="39">
        <f>+'FY24'!P45*(1+MYP!$M$9)</f>
        <v>360.72582336000005</v>
      </c>
      <c r="Q45" s="36"/>
      <c r="R45" s="41"/>
      <c r="S45" s="59">
        <f t="shared" si="18"/>
        <v>4328.7098803200006</v>
      </c>
      <c r="T45" s="41"/>
      <c r="U45" s="39">
        <f>'FY24'!S45</f>
        <v>4243.833216</v>
      </c>
      <c r="V45" s="39">
        <f t="shared" si="19"/>
        <v>-84.8766643200006</v>
      </c>
      <c r="W45" s="39"/>
    </row>
    <row r="46" spans="3:23" s="37" customFormat="1" ht="12" x14ac:dyDescent="0.2">
      <c r="C46" s="199">
        <v>6227</v>
      </c>
      <c r="D46" s="37" t="s">
        <v>221</v>
      </c>
      <c r="E46" s="39">
        <f>+'FY24'!E46*(1+MYP!$M$9)</f>
        <v>197.75313941760001</v>
      </c>
      <c r="F46" s="39">
        <f>+'FY24'!F46*(1+MYP!$M$9)</f>
        <v>197.75313941760001</v>
      </c>
      <c r="G46" s="39">
        <f>+'FY24'!G46*(1+MYP!$M$9)</f>
        <v>197.75313941760001</v>
      </c>
      <c r="H46" s="39">
        <f>+'FY24'!H46*(1+MYP!$M$9)</f>
        <v>197.75313941760001</v>
      </c>
      <c r="I46" s="39">
        <f>+'FY24'!I46*(1+MYP!$M$9)</f>
        <v>197.75313941760001</v>
      </c>
      <c r="J46" s="39">
        <f>+'FY24'!J46*(1+MYP!$M$9)</f>
        <v>197.75313941760001</v>
      </c>
      <c r="K46" s="39">
        <f>+'FY24'!K46*(1+MYP!$M$9)</f>
        <v>197.75313941760001</v>
      </c>
      <c r="L46" s="39">
        <f>+'FY24'!L46*(1+MYP!$M$9)</f>
        <v>197.75313941760001</v>
      </c>
      <c r="M46" s="39">
        <f>+'FY24'!M46*(1+MYP!$M$9)</f>
        <v>197.75313941760001</v>
      </c>
      <c r="N46" s="39">
        <f>+'FY24'!N46*(1+MYP!$M$9)</f>
        <v>197.75313941760001</v>
      </c>
      <c r="O46" s="39">
        <f>+'FY24'!O46*(1+MYP!$M$9)</f>
        <v>197.75313941760001</v>
      </c>
      <c r="P46" s="39">
        <f>+'FY24'!P46*(1+MYP!$M$9)</f>
        <v>197.75313941760001</v>
      </c>
      <c r="Q46" s="36"/>
      <c r="R46" s="41"/>
      <c r="S46" s="59">
        <f t="shared" si="18"/>
        <v>2373.0376730112002</v>
      </c>
      <c r="T46" s="41"/>
      <c r="U46" s="39">
        <f>'FY24'!S46</f>
        <v>2326.5075225599999</v>
      </c>
      <c r="V46" s="39">
        <f t="shared" si="19"/>
        <v>-46.53015045120037</v>
      </c>
      <c r="W46" s="39"/>
    </row>
    <row r="47" spans="3:23" s="37" customFormat="1" ht="12" x14ac:dyDescent="0.2">
      <c r="C47" s="199">
        <v>6231</v>
      </c>
      <c r="D47" s="37" t="s">
        <v>205</v>
      </c>
      <c r="E47" s="39">
        <f>+'FY24'!E47*(1+MYP!$M$9)</f>
        <v>0</v>
      </c>
      <c r="F47" s="39">
        <f>+'FY24'!F47*(1+MYP!$M$9)</f>
        <v>0</v>
      </c>
      <c r="G47" s="39">
        <f>+'FY24'!G47*(1+MYP!$M$9)</f>
        <v>0</v>
      </c>
      <c r="H47" s="39">
        <f>+'FY24'!H47*(1+MYP!$M$9)</f>
        <v>0</v>
      </c>
      <c r="I47" s="39">
        <f>+'FY24'!I47*(1+MYP!$M$9)</f>
        <v>0</v>
      </c>
      <c r="J47" s="39">
        <f>+'FY24'!J47*(1+MYP!$M$9)</f>
        <v>0</v>
      </c>
      <c r="K47" s="39">
        <f>+'FY24'!K47*(1+MYP!$M$9)</f>
        <v>0</v>
      </c>
      <c r="L47" s="39">
        <f>+'FY24'!L47*(1+MYP!$M$9)</f>
        <v>0</v>
      </c>
      <c r="M47" s="39">
        <f>+'FY24'!M47*(1+MYP!$M$9)</f>
        <v>0</v>
      </c>
      <c r="N47" s="39">
        <f>+'FY24'!N47*(1+MYP!$M$9)</f>
        <v>0</v>
      </c>
      <c r="O47" s="39">
        <f>+'FY24'!O47*(1+MYP!$M$9)</f>
        <v>0</v>
      </c>
      <c r="P47" s="39">
        <f>+'FY24'!P47*(1+MYP!$M$9)</f>
        <v>0</v>
      </c>
      <c r="Q47" s="36"/>
      <c r="R47" s="41"/>
      <c r="S47" s="59">
        <f>SUM(E47:Q47)</f>
        <v>0</v>
      </c>
      <c r="T47" s="41"/>
      <c r="U47" s="39">
        <f>'FY24'!S47</f>
        <v>0</v>
      </c>
      <c r="V47" s="39">
        <f t="shared" si="19"/>
        <v>0</v>
      </c>
      <c r="W47" s="39"/>
    </row>
    <row r="48" spans="3:23" s="37" customFormat="1" ht="12" x14ac:dyDescent="0.2">
      <c r="C48" s="199">
        <v>6234</v>
      </c>
      <c r="D48" s="37" t="s">
        <v>206</v>
      </c>
      <c r="E48" s="39">
        <f>+'FY24'!E48*(1+MYP!$M$9)</f>
        <v>11548.083030930991</v>
      </c>
      <c r="F48" s="39">
        <f>+'FY24'!F48*(1+MYP!$M$9)</f>
        <v>11548.083030930991</v>
      </c>
      <c r="G48" s="39">
        <f>+'FY24'!G48*(1+MYP!$M$9)</f>
        <v>11548.083030930991</v>
      </c>
      <c r="H48" s="39">
        <f>+'FY24'!H48*(1+MYP!$M$9)</f>
        <v>11548.083030930991</v>
      </c>
      <c r="I48" s="39">
        <f>+'FY24'!I48*(1+MYP!$M$9)</f>
        <v>11548.083030930991</v>
      </c>
      <c r="J48" s="39">
        <f>+'FY24'!J48*(1+MYP!$M$9)</f>
        <v>11548.083030930991</v>
      </c>
      <c r="K48" s="39">
        <f>+'FY24'!K48*(1+MYP!$M$9)</f>
        <v>11548.083030930991</v>
      </c>
      <c r="L48" s="39">
        <f>+'FY24'!L48*(1+MYP!$M$9)</f>
        <v>11548.083030930991</v>
      </c>
      <c r="M48" s="39">
        <f>+'FY24'!M48*(1+MYP!$M$9)</f>
        <v>11548.083030930991</v>
      </c>
      <c r="N48" s="39">
        <f>+'FY24'!N48*(1+MYP!$M$9)</f>
        <v>11548.083030930991</v>
      </c>
      <c r="O48" s="39">
        <f>+'FY24'!O48*(1+MYP!$M$9)</f>
        <v>11548.083030930991</v>
      </c>
      <c r="P48" s="39">
        <f>+'FY24'!P48*(1+MYP!$M$9)</f>
        <v>11548.083030930991</v>
      </c>
      <c r="Q48" s="36"/>
      <c r="R48" s="41"/>
      <c r="S48" s="59">
        <f t="shared" si="18"/>
        <v>138576.99637117193</v>
      </c>
      <c r="T48" s="41"/>
      <c r="U48" s="39">
        <f>'FY24'!S48</f>
        <v>135859.800363894</v>
      </c>
      <c r="V48" s="39">
        <f t="shared" si="19"/>
        <v>-2717.1960072779329</v>
      </c>
      <c r="W48" s="39"/>
    </row>
    <row r="49" spans="3:23" s="37" customFormat="1" ht="12" x14ac:dyDescent="0.2">
      <c r="C49" s="199">
        <v>6237</v>
      </c>
      <c r="D49" s="37" t="s">
        <v>223</v>
      </c>
      <c r="E49" s="39">
        <f>+'FY24'!E49*(1+MYP!$M$9)</f>
        <v>11429.253784841518</v>
      </c>
      <c r="F49" s="39">
        <f>+'FY24'!F49*(1+MYP!$M$9)</f>
        <v>11429.253784841518</v>
      </c>
      <c r="G49" s="39">
        <f>+'FY24'!G49*(1+MYP!$M$9)</f>
        <v>11429.253784841518</v>
      </c>
      <c r="H49" s="39">
        <f>+'FY24'!H49*(1+MYP!$M$9)</f>
        <v>11429.253784841518</v>
      </c>
      <c r="I49" s="39">
        <f>+'FY24'!I49*(1+MYP!$M$9)</f>
        <v>11429.253784841518</v>
      </c>
      <c r="J49" s="39">
        <f>+'FY24'!J49*(1+MYP!$M$9)</f>
        <v>11429.253784841518</v>
      </c>
      <c r="K49" s="39">
        <f>+'FY24'!K49*(1+MYP!$M$9)</f>
        <v>11429.253784841518</v>
      </c>
      <c r="L49" s="39">
        <f>+'FY24'!L49*(1+MYP!$M$9)</f>
        <v>11429.253784841518</v>
      </c>
      <c r="M49" s="39">
        <f>+'FY24'!M49*(1+MYP!$M$9)</f>
        <v>11429.253784841518</v>
      </c>
      <c r="N49" s="39">
        <f>+'FY24'!N49*(1+MYP!$M$9)</f>
        <v>11429.253784841518</v>
      </c>
      <c r="O49" s="39">
        <f>+'FY24'!O49*(1+MYP!$M$9)</f>
        <v>11429.253784841518</v>
      </c>
      <c r="P49" s="39">
        <f>+'FY24'!P49*(1+MYP!$M$9)</f>
        <v>11429.253784841518</v>
      </c>
      <c r="Q49" s="36"/>
      <c r="R49" s="41"/>
      <c r="S49" s="59">
        <f t="shared" si="18"/>
        <v>137151.04541809825</v>
      </c>
      <c r="T49" s="41"/>
      <c r="U49" s="39">
        <f>'FY24'!S49</f>
        <v>134461.80923342958</v>
      </c>
      <c r="V49" s="39">
        <f t="shared" si="19"/>
        <v>-2689.236184668669</v>
      </c>
      <c r="W49" s="39"/>
    </row>
    <row r="50" spans="3:23" s="37" customFormat="1" ht="12" x14ac:dyDescent="0.2">
      <c r="C50" s="199">
        <v>6241</v>
      </c>
      <c r="D50" s="37" t="s">
        <v>196</v>
      </c>
      <c r="E50" s="39">
        <f>+'FY24'!E50*(1+MYP!$M$9)</f>
        <v>0</v>
      </c>
      <c r="F50" s="39">
        <f>+'FY24'!F50*(1+MYP!$M$9)</f>
        <v>0</v>
      </c>
      <c r="G50" s="39">
        <f>+'FY24'!G50*(1+MYP!$M$9)</f>
        <v>0</v>
      </c>
      <c r="H50" s="39">
        <f>+'FY24'!H50*(1+MYP!$M$9)</f>
        <v>0</v>
      </c>
      <c r="I50" s="39">
        <f>+'FY24'!I50*(1+MYP!$M$9)</f>
        <v>0</v>
      </c>
      <c r="J50" s="39">
        <f>+'FY24'!J50*(1+MYP!$M$9)</f>
        <v>0</v>
      </c>
      <c r="K50" s="39">
        <f>+'FY24'!K50*(1+MYP!$M$9)</f>
        <v>0</v>
      </c>
      <c r="L50" s="39">
        <f>+'FY24'!L50*(1+MYP!$M$9)</f>
        <v>0</v>
      </c>
      <c r="M50" s="39">
        <f>+'FY24'!M50*(1+MYP!$M$9)</f>
        <v>0</v>
      </c>
      <c r="N50" s="39">
        <f>+'FY24'!N50*(1+MYP!$M$9)</f>
        <v>0</v>
      </c>
      <c r="O50" s="39">
        <f>+'FY24'!O50*(1+MYP!$M$9)</f>
        <v>0</v>
      </c>
      <c r="P50" s="39">
        <f>+'FY24'!P50*(1+MYP!$M$9)</f>
        <v>0</v>
      </c>
      <c r="Q50" s="36"/>
      <c r="R50" s="41"/>
      <c r="S50" s="59">
        <f t="shared" si="18"/>
        <v>0</v>
      </c>
      <c r="T50" s="41"/>
      <c r="U50" s="39">
        <f>'FY24'!S50</f>
        <v>0</v>
      </c>
      <c r="V50" s="39">
        <f t="shared" si="19"/>
        <v>0</v>
      </c>
      <c r="W50" s="39"/>
    </row>
    <row r="51" spans="3:23" s="37" customFormat="1" ht="12" x14ac:dyDescent="0.2">
      <c r="C51" s="199">
        <v>6244</v>
      </c>
      <c r="D51" s="37" t="s">
        <v>197</v>
      </c>
      <c r="E51" s="39">
        <f>+'FY24'!E51*(1+MYP!$M$9)</f>
        <v>644.58850011442212</v>
      </c>
      <c r="F51" s="39">
        <f>+'FY24'!F51*(1+MYP!$M$9)</f>
        <v>644.58850011442212</v>
      </c>
      <c r="G51" s="39">
        <f>+'FY24'!G51*(1+MYP!$M$9)</f>
        <v>656.35994985442198</v>
      </c>
      <c r="H51" s="39">
        <f>+'FY24'!H51*(1+MYP!$M$9)</f>
        <v>660.28376643442209</v>
      </c>
      <c r="I51" s="39">
        <f>+'FY24'!I51*(1+MYP!$M$9)</f>
        <v>668.13139959442219</v>
      </c>
      <c r="J51" s="39">
        <f>+'FY24'!J51*(1+MYP!$M$9)</f>
        <v>675.97903275442218</v>
      </c>
      <c r="K51" s="39">
        <f>+'FY24'!K51*(1+MYP!$M$9)</f>
        <v>675.97903275442218</v>
      </c>
      <c r="L51" s="39">
        <f>+'FY24'!L51*(1+MYP!$M$9)</f>
        <v>687.75048249442204</v>
      </c>
      <c r="M51" s="39">
        <f>+'FY24'!M51*(1+MYP!$M$9)</f>
        <v>679.90284933442217</v>
      </c>
      <c r="N51" s="39">
        <f>+'FY24'!N51*(1+MYP!$M$9)</f>
        <v>675.97903275442218</v>
      </c>
      <c r="O51" s="39">
        <f>+'FY24'!O51*(1+MYP!$M$9)</f>
        <v>675.97903275442218</v>
      </c>
      <c r="P51" s="39">
        <f>+'FY24'!P51*(1+MYP!$M$9)</f>
        <v>1029.1225249544223</v>
      </c>
      <c r="Q51" s="36"/>
      <c r="R51" s="41"/>
      <c r="S51" s="59">
        <f t="shared" si="18"/>
        <v>8374.6441039130659</v>
      </c>
      <c r="T51" s="41"/>
      <c r="U51" s="39">
        <f>'FY24'!S51</f>
        <v>8210.4353959932014</v>
      </c>
      <c r="V51" s="39">
        <f t="shared" si="19"/>
        <v>-164.20870791986454</v>
      </c>
      <c r="W51" s="39"/>
    </row>
    <row r="52" spans="3:23" s="37" customFormat="1" ht="12" x14ac:dyDescent="0.2">
      <c r="C52" s="199">
        <v>6247</v>
      </c>
      <c r="D52" s="37" t="s">
        <v>224</v>
      </c>
      <c r="E52" s="39">
        <f>+'FY24'!E52*(1+MYP!$M$9)</f>
        <v>794.77858184535069</v>
      </c>
      <c r="F52" s="39">
        <f>+'FY24'!F52*(1+MYP!$M$9)</f>
        <v>863.52384832695054</v>
      </c>
      <c r="G52" s="39">
        <f>+'FY24'!G52*(1+MYP!$M$9)</f>
        <v>863.14716193527067</v>
      </c>
      <c r="H52" s="39">
        <f>+'FY24'!H52*(1+MYP!$M$9)</f>
        <v>906.93695496807049</v>
      </c>
      <c r="I52" s="39">
        <f>+'FY24'!I52*(1+MYP!$M$9)</f>
        <v>876.33118564407073</v>
      </c>
      <c r="J52" s="39">
        <f>+'FY24'!J52*(1+MYP!$M$9)</f>
        <v>846.03932164647063</v>
      </c>
      <c r="K52" s="39">
        <f>+'FY24'!K52*(1+MYP!$M$9)</f>
        <v>888.41654071047071</v>
      </c>
      <c r="L52" s="39">
        <f>+'FY24'!L52*(1+MYP!$M$9)</f>
        <v>832.85529793767068</v>
      </c>
      <c r="M52" s="39">
        <f>+'FY24'!M52*(1+MYP!$M$9)</f>
        <v>870.99479509527066</v>
      </c>
      <c r="N52" s="39">
        <f>+'FY24'!N52*(1+MYP!$M$9)</f>
        <v>901.60056441927065</v>
      </c>
      <c r="O52" s="39">
        <f>+'FY24'!O52*(1+MYP!$M$9)</f>
        <v>901.66334548455052</v>
      </c>
      <c r="P52" s="39">
        <f>+'FY24'!P52*(1+MYP!$M$9)</f>
        <v>794.77858184535069</v>
      </c>
      <c r="Q52" s="36"/>
      <c r="R52" s="41"/>
      <c r="S52" s="59">
        <f t="shared" si="18"/>
        <v>10341.066179858768</v>
      </c>
      <c r="T52" s="41"/>
      <c r="U52" s="39">
        <f>'FY24'!S52</f>
        <v>10138.300176332126</v>
      </c>
      <c r="V52" s="39">
        <f t="shared" si="19"/>
        <v>-202.76600352664173</v>
      </c>
      <c r="W52" s="39"/>
    </row>
    <row r="53" spans="3:23" s="37" customFormat="1" ht="12" x14ac:dyDescent="0.2">
      <c r="C53" s="199">
        <v>6261</v>
      </c>
      <c r="D53" s="37" t="s">
        <v>207</v>
      </c>
      <c r="E53" s="39">
        <f>+'FY24'!E53*(1+MYP!$M$9)</f>
        <v>0</v>
      </c>
      <c r="F53" s="39">
        <f>+'FY24'!F53*(1+MYP!$M$9)</f>
        <v>0</v>
      </c>
      <c r="G53" s="39">
        <f>+'FY24'!G53*(1+MYP!$M$9)</f>
        <v>0</v>
      </c>
      <c r="H53" s="39">
        <f>+'FY24'!H53*(1+MYP!$M$9)</f>
        <v>0</v>
      </c>
      <c r="I53" s="39">
        <f>+'FY24'!I53*(1+MYP!$M$9)</f>
        <v>0</v>
      </c>
      <c r="J53" s="39">
        <f>+'FY24'!J53*(1+MYP!$M$9)</f>
        <v>0</v>
      </c>
      <c r="K53" s="39">
        <f>+'FY24'!K53*(1+MYP!$M$9)</f>
        <v>0</v>
      </c>
      <c r="L53" s="39">
        <f>+'FY24'!L53*(1+MYP!$M$9)</f>
        <v>0</v>
      </c>
      <c r="M53" s="39">
        <f>+'FY24'!M53*(1+MYP!$M$9)</f>
        <v>0</v>
      </c>
      <c r="N53" s="39">
        <f>+'FY24'!N53*(1+MYP!$M$9)</f>
        <v>0</v>
      </c>
      <c r="O53" s="39">
        <f>+'FY24'!O53*(1+MYP!$M$9)</f>
        <v>0</v>
      </c>
      <c r="P53" s="39">
        <f>+'FY24'!P53*(1+MYP!$M$9)</f>
        <v>0</v>
      </c>
      <c r="Q53" s="36"/>
      <c r="R53" s="41"/>
      <c r="S53" s="59">
        <f t="shared" si="18"/>
        <v>0</v>
      </c>
      <c r="T53" s="41"/>
      <c r="U53" s="39">
        <f>'FY24'!S53</f>
        <v>0</v>
      </c>
      <c r="V53" s="39">
        <f t="shared" si="19"/>
        <v>0</v>
      </c>
      <c r="W53" s="39"/>
    </row>
    <row r="54" spans="3:23" s="37" customFormat="1" ht="12" x14ac:dyDescent="0.2">
      <c r="C54" s="199">
        <v>6264</v>
      </c>
      <c r="D54" s="37" t="s">
        <v>208</v>
      </c>
      <c r="E54" s="39">
        <f>+'FY24'!E54*(1+MYP!$M$9)</f>
        <v>168.85941696</v>
      </c>
      <c r="F54" s="39">
        <f>+'FY24'!F54*(1+MYP!$M$9)</f>
        <v>168.85941696</v>
      </c>
      <c r="G54" s="39">
        <f>+'FY24'!G54*(1+MYP!$M$9)</f>
        <v>168.85941696</v>
      </c>
      <c r="H54" s="39">
        <f>+'FY24'!H54*(1+MYP!$M$9)</f>
        <v>168.85941696</v>
      </c>
      <c r="I54" s="39">
        <f>+'FY24'!I54*(1+MYP!$M$9)</f>
        <v>168.85941696</v>
      </c>
      <c r="J54" s="39">
        <f>+'FY24'!J54*(1+MYP!$M$9)</f>
        <v>168.85941696</v>
      </c>
      <c r="K54" s="39">
        <f>+'FY24'!K54*(1+MYP!$M$9)</f>
        <v>168.85941696</v>
      </c>
      <c r="L54" s="39">
        <f>+'FY24'!L54*(1+MYP!$M$9)</f>
        <v>168.85941696</v>
      </c>
      <c r="M54" s="39">
        <f>+'FY24'!M54*(1+MYP!$M$9)</f>
        <v>168.85941696</v>
      </c>
      <c r="N54" s="39">
        <f>+'FY24'!N54*(1+MYP!$M$9)</f>
        <v>168.85941696</v>
      </c>
      <c r="O54" s="39">
        <f>+'FY24'!O54*(1+MYP!$M$9)</f>
        <v>168.85941696</v>
      </c>
      <c r="P54" s="39">
        <f>+'FY24'!P54*(1+MYP!$M$9)</f>
        <v>168.85941696</v>
      </c>
      <c r="Q54" s="36"/>
      <c r="R54" s="41"/>
      <c r="S54" s="59">
        <f t="shared" si="18"/>
        <v>2026.3130035200004</v>
      </c>
      <c r="T54" s="41"/>
      <c r="U54" s="39">
        <f>'FY24'!S54</f>
        <v>1986.5813760000001</v>
      </c>
      <c r="V54" s="39">
        <f t="shared" si="19"/>
        <v>-39.731627520000302</v>
      </c>
      <c r="W54" s="39"/>
    </row>
    <row r="55" spans="3:23" s="37" customFormat="1" ht="12" x14ac:dyDescent="0.2">
      <c r="C55" s="199">
        <v>6267</v>
      </c>
      <c r="D55" s="37" t="s">
        <v>225</v>
      </c>
      <c r="E55" s="39">
        <f>+'FY24'!E55*(1+MYP!$M$9)</f>
        <v>475.32992011200002</v>
      </c>
      <c r="F55" s="39">
        <f>+'FY24'!F55*(1+MYP!$M$9)</f>
        <v>475.32992011200002</v>
      </c>
      <c r="G55" s="39">
        <f>+'FY24'!G55*(1+MYP!$M$9)</f>
        <v>475.32992011200002</v>
      </c>
      <c r="H55" s="39">
        <f>+'FY24'!H55*(1+MYP!$M$9)</f>
        <v>475.32992011200002</v>
      </c>
      <c r="I55" s="39">
        <f>+'FY24'!I55*(1+MYP!$M$9)</f>
        <v>475.32992011200002</v>
      </c>
      <c r="J55" s="39">
        <f>+'FY24'!J55*(1+MYP!$M$9)</f>
        <v>475.32992011200002</v>
      </c>
      <c r="K55" s="39">
        <f>+'FY24'!K55*(1+MYP!$M$9)</f>
        <v>475.32992011200002</v>
      </c>
      <c r="L55" s="39">
        <f>+'FY24'!L55*(1+MYP!$M$9)</f>
        <v>475.32992011200002</v>
      </c>
      <c r="M55" s="39">
        <f>+'FY24'!M55*(1+MYP!$M$9)</f>
        <v>475.32992011200002</v>
      </c>
      <c r="N55" s="39">
        <f>+'FY24'!N55*(1+MYP!$M$9)</f>
        <v>475.32992011200002</v>
      </c>
      <c r="O55" s="39">
        <f>+'FY24'!O55*(1+MYP!$M$9)</f>
        <v>475.32992011200002</v>
      </c>
      <c r="P55" s="39">
        <f>+'FY24'!P55*(1+MYP!$M$9)</f>
        <v>475.32992011200002</v>
      </c>
      <c r="Q55" s="36"/>
      <c r="R55" s="41"/>
      <c r="S55" s="59">
        <f t="shared" si="18"/>
        <v>5703.9590413439992</v>
      </c>
      <c r="T55" s="41"/>
      <c r="U55" s="39">
        <f>'FY24'!S55</f>
        <v>5592.1167071999998</v>
      </c>
      <c r="V55" s="39">
        <f t="shared" si="19"/>
        <v>-111.84233414399932</v>
      </c>
      <c r="W55" s="39"/>
    </row>
    <row r="56" spans="3:23" s="37" customFormat="1" ht="12" x14ac:dyDescent="0.2">
      <c r="C56" s="199">
        <v>6271</v>
      </c>
      <c r="D56" s="37" t="s">
        <v>209</v>
      </c>
      <c r="E56" s="39">
        <f>+'FY24'!E56*(1+MYP!$M$9)</f>
        <v>0</v>
      </c>
      <c r="F56" s="39">
        <f>+'FY24'!F56*(1+MYP!$M$9)</f>
        <v>0</v>
      </c>
      <c r="G56" s="39">
        <f>+'FY24'!G56*(1+MYP!$M$9)</f>
        <v>0</v>
      </c>
      <c r="H56" s="39">
        <f>+'FY24'!H56*(1+MYP!$M$9)</f>
        <v>0</v>
      </c>
      <c r="I56" s="39">
        <f>+'FY24'!I56*(1+MYP!$M$9)</f>
        <v>0</v>
      </c>
      <c r="J56" s="39">
        <f>+'FY24'!J56*(1+MYP!$M$9)</f>
        <v>0</v>
      </c>
      <c r="K56" s="39">
        <f>+'FY24'!K56*(1+MYP!$M$9)</f>
        <v>0</v>
      </c>
      <c r="L56" s="39">
        <f>+'FY24'!L56*(1+MYP!$M$9)</f>
        <v>0</v>
      </c>
      <c r="M56" s="39">
        <f>+'FY24'!M56*(1+MYP!$M$9)</f>
        <v>0</v>
      </c>
      <c r="N56" s="39">
        <f>+'FY24'!N56*(1+MYP!$M$9)</f>
        <v>0</v>
      </c>
      <c r="O56" s="39">
        <f>+'FY24'!O56*(1+MYP!$M$9)</f>
        <v>0</v>
      </c>
      <c r="P56" s="39">
        <f>+'FY24'!P56*(1+MYP!$M$9)</f>
        <v>0</v>
      </c>
      <c r="Q56" s="36"/>
      <c r="R56" s="41"/>
      <c r="S56" s="59">
        <f t="shared" si="18"/>
        <v>0</v>
      </c>
      <c r="T56" s="41"/>
      <c r="U56" s="39">
        <f>'FY24'!S56</f>
        <v>0</v>
      </c>
      <c r="V56" s="39">
        <f t="shared" si="19"/>
        <v>0</v>
      </c>
      <c r="W56" s="39"/>
    </row>
    <row r="57" spans="3:23" s="37" customFormat="1" ht="12" x14ac:dyDescent="0.2">
      <c r="C57" s="199">
        <v>6274</v>
      </c>
      <c r="D57" s="37" t="s">
        <v>210</v>
      </c>
      <c r="E57" s="39">
        <f>+'FY24'!E57*(1+MYP!$M$9)</f>
        <v>360.97603896176997</v>
      </c>
      <c r="F57" s="39">
        <f>+'FY24'!F57*(1+MYP!$M$9)</f>
        <v>360.97603896176997</v>
      </c>
      <c r="G57" s="39">
        <f>+'FY24'!G57*(1+MYP!$M$9)</f>
        <v>360.97603896176997</v>
      </c>
      <c r="H57" s="39">
        <f>+'FY24'!H57*(1+MYP!$M$9)</f>
        <v>360.97603896176997</v>
      </c>
      <c r="I57" s="39">
        <f>+'FY24'!I57*(1+MYP!$M$9)</f>
        <v>360.97603896176997</v>
      </c>
      <c r="J57" s="39">
        <f>+'FY24'!J57*(1+MYP!$M$9)</f>
        <v>360.97603896176997</v>
      </c>
      <c r="K57" s="39">
        <f>+'FY24'!K57*(1+MYP!$M$9)</f>
        <v>360.97603896176997</v>
      </c>
      <c r="L57" s="39">
        <f>+'FY24'!L57*(1+MYP!$M$9)</f>
        <v>360.97603896176997</v>
      </c>
      <c r="M57" s="39">
        <f>+'FY24'!M57*(1+MYP!$M$9)</f>
        <v>360.97603896176997</v>
      </c>
      <c r="N57" s="39">
        <f>+'FY24'!N57*(1+MYP!$M$9)</f>
        <v>360.97603896176997</v>
      </c>
      <c r="O57" s="39">
        <f>+'FY24'!O57*(1+MYP!$M$9)</f>
        <v>360.97603896176997</v>
      </c>
      <c r="P57" s="39">
        <f>+'FY24'!P57*(1+MYP!$M$9)</f>
        <v>360.97603896176997</v>
      </c>
      <c r="Q57" s="36"/>
      <c r="R57" s="41"/>
      <c r="S57" s="59">
        <f t="shared" si="18"/>
        <v>4331.7124675412397</v>
      </c>
      <c r="T57" s="41"/>
      <c r="U57" s="39">
        <f>'FY24'!S57</f>
        <v>4246.7769289619982</v>
      </c>
      <c r="V57" s="39">
        <f t="shared" si="19"/>
        <v>-84.935538579241438</v>
      </c>
      <c r="W57" s="39"/>
    </row>
    <row r="58" spans="3:23" s="37" customFormat="1" ht="12" x14ac:dyDescent="0.2">
      <c r="C58" s="199">
        <v>6277</v>
      </c>
      <c r="D58" s="37" t="s">
        <v>226</v>
      </c>
      <c r="E58" s="39">
        <f>+'FY24'!E58*(1+MYP!$M$9)</f>
        <v>475.11913421080902</v>
      </c>
      <c r="F58" s="39">
        <f>+'FY24'!F58*(1+MYP!$M$9)</f>
        <v>475.11913421080902</v>
      </c>
      <c r="G58" s="39">
        <f>+'FY24'!G58*(1+MYP!$M$9)</f>
        <v>475.11913421080902</v>
      </c>
      <c r="H58" s="39">
        <f>+'FY24'!H58*(1+MYP!$M$9)</f>
        <v>475.11913421080902</v>
      </c>
      <c r="I58" s="39">
        <f>+'FY24'!I58*(1+MYP!$M$9)</f>
        <v>475.11913421080902</v>
      </c>
      <c r="J58" s="39">
        <f>+'FY24'!J58*(1+MYP!$M$9)</f>
        <v>475.11913421080902</v>
      </c>
      <c r="K58" s="39">
        <f>+'FY24'!K58*(1+MYP!$M$9)</f>
        <v>475.11913421080902</v>
      </c>
      <c r="L58" s="39">
        <f>+'FY24'!L58*(1+MYP!$M$9)</f>
        <v>475.11913421080902</v>
      </c>
      <c r="M58" s="39">
        <f>+'FY24'!M58*(1+MYP!$M$9)</f>
        <v>475.11913421080902</v>
      </c>
      <c r="N58" s="39">
        <f>+'FY24'!N58*(1+MYP!$M$9)</f>
        <v>475.11913421080902</v>
      </c>
      <c r="O58" s="39">
        <f>+'FY24'!O58*(1+MYP!$M$9)</f>
        <v>475.11913421080902</v>
      </c>
      <c r="P58" s="39">
        <f>+'FY24'!P58*(1+MYP!$M$9)</f>
        <v>475.11913421080902</v>
      </c>
      <c r="Q58" s="36"/>
      <c r="R58" s="41"/>
      <c r="S58" s="59">
        <f t="shared" si="18"/>
        <v>5701.4296105297071</v>
      </c>
      <c r="T58" s="41"/>
      <c r="U58" s="39">
        <f>'FY24'!S58</f>
        <v>5589.6368730683416</v>
      </c>
      <c r="V58" s="39">
        <f t="shared" si="19"/>
        <v>-111.7927374613655</v>
      </c>
      <c r="W58" s="39"/>
    </row>
    <row r="59" spans="3:23" s="37" customFormat="1" ht="12" x14ac:dyDescent="0.2">
      <c r="C59" s="199">
        <v>6281</v>
      </c>
      <c r="D59" s="37" t="s">
        <v>193</v>
      </c>
      <c r="E59" s="39">
        <f>+'FY24'!E59*(1+MYP!$M$9)</f>
        <v>0</v>
      </c>
      <c r="F59" s="39">
        <f>+'FY24'!F59*(1+MYP!$M$9)</f>
        <v>0</v>
      </c>
      <c r="G59" s="39">
        <f>+'FY24'!G59*(1+MYP!$M$9)</f>
        <v>0</v>
      </c>
      <c r="H59" s="39">
        <f>+'FY24'!H59*(1+MYP!$M$9)</f>
        <v>0</v>
      </c>
      <c r="I59" s="39">
        <f>+'FY24'!I59*(1+MYP!$M$9)</f>
        <v>0</v>
      </c>
      <c r="J59" s="39">
        <f>+'FY24'!J59*(1+MYP!$M$9)</f>
        <v>0</v>
      </c>
      <c r="K59" s="39">
        <f>+'FY24'!K59*(1+MYP!$M$9)</f>
        <v>0</v>
      </c>
      <c r="L59" s="39">
        <f>+'FY24'!L59*(1+MYP!$M$9)</f>
        <v>0</v>
      </c>
      <c r="M59" s="39">
        <f>+'FY24'!M59*(1+MYP!$M$9)</f>
        <v>0</v>
      </c>
      <c r="N59" s="39">
        <f>+'FY24'!N59*(1+MYP!$M$9)</f>
        <v>0</v>
      </c>
      <c r="O59" s="39">
        <f>+'FY24'!O59*(1+MYP!$M$9)</f>
        <v>0</v>
      </c>
      <c r="P59" s="39">
        <f>+'FY24'!P59*(1+MYP!$M$9)</f>
        <v>0</v>
      </c>
      <c r="Q59" s="36"/>
      <c r="R59" s="41"/>
      <c r="S59" s="59">
        <f t="shared" si="18"/>
        <v>0</v>
      </c>
      <c r="T59" s="41"/>
      <c r="U59" s="39">
        <f>'FY24'!S59</f>
        <v>0</v>
      </c>
      <c r="V59" s="39">
        <f t="shared" si="19"/>
        <v>0</v>
      </c>
      <c r="W59" s="39"/>
    </row>
    <row r="60" spans="3:23" s="37" customFormat="1" ht="12" x14ac:dyDescent="0.2">
      <c r="C60" s="199">
        <v>6284</v>
      </c>
      <c r="D60" s="37" t="s">
        <v>194</v>
      </c>
      <c r="E60" s="39">
        <f>+'FY24'!E60*(1+MYP!$M$9)</f>
        <v>1753.5400992</v>
      </c>
      <c r="F60" s="39">
        <f>+'FY24'!F60*(1+MYP!$M$9)</f>
        <v>1753.5400992</v>
      </c>
      <c r="G60" s="39">
        <f>+'FY24'!G60*(1+MYP!$M$9)</f>
        <v>1753.5400992</v>
      </c>
      <c r="H60" s="39">
        <f>+'FY24'!H60*(1+MYP!$M$9)</f>
        <v>1753.5400992</v>
      </c>
      <c r="I60" s="39">
        <f>+'FY24'!I60*(1+MYP!$M$9)</f>
        <v>1753.5400992</v>
      </c>
      <c r="J60" s="39">
        <f>+'FY24'!J60*(1+MYP!$M$9)</f>
        <v>1753.5400992</v>
      </c>
      <c r="K60" s="39">
        <f>+'FY24'!K60*(1+MYP!$M$9)</f>
        <v>1753.5400992</v>
      </c>
      <c r="L60" s="39">
        <f>+'FY24'!L60*(1+MYP!$M$9)</f>
        <v>1753.5400992</v>
      </c>
      <c r="M60" s="39">
        <f>+'FY24'!M60*(1+MYP!$M$9)</f>
        <v>1753.5400992</v>
      </c>
      <c r="N60" s="39">
        <f>+'FY24'!N60*(1+MYP!$M$9)</f>
        <v>1753.5400992</v>
      </c>
      <c r="O60" s="39">
        <f>+'FY24'!O60*(1+MYP!$M$9)</f>
        <v>1753.5400992</v>
      </c>
      <c r="P60" s="39">
        <f>+'FY24'!P60*(1+MYP!$M$9)</f>
        <v>1753.5400992</v>
      </c>
      <c r="Q60" s="98"/>
      <c r="R60" s="41"/>
      <c r="S60" s="59">
        <f t="shared" si="18"/>
        <v>21042.481190399998</v>
      </c>
      <c r="T60" s="41"/>
      <c r="U60" s="39">
        <f>'FY24'!S60</f>
        <v>20629.883519999999</v>
      </c>
      <c r="V60" s="39">
        <f t="shared" si="19"/>
        <v>-412.59767039999861</v>
      </c>
      <c r="W60" s="39"/>
    </row>
    <row r="61" spans="3:23" s="37" customFormat="1" ht="12" x14ac:dyDescent="0.2">
      <c r="C61" s="199">
        <v>6287</v>
      </c>
      <c r="D61" s="37" t="s">
        <v>227</v>
      </c>
      <c r="E61" s="39">
        <f>+'FY24'!E61*(1+MYP!$M$9)</f>
        <v>3952.7875584000003</v>
      </c>
      <c r="F61" s="39">
        <f>+'FY24'!F61*(1+MYP!$M$9)</f>
        <v>3952.7875584000003</v>
      </c>
      <c r="G61" s="39">
        <f>+'FY24'!G61*(1+MYP!$M$9)</f>
        <v>3952.7875584000003</v>
      </c>
      <c r="H61" s="39">
        <f>+'FY24'!H61*(1+MYP!$M$9)</f>
        <v>3952.7875584000003</v>
      </c>
      <c r="I61" s="39">
        <f>+'FY24'!I61*(1+MYP!$M$9)</f>
        <v>3952.7875584000003</v>
      </c>
      <c r="J61" s="39">
        <f>+'FY24'!J61*(1+MYP!$M$9)</f>
        <v>3952.7875584000003</v>
      </c>
      <c r="K61" s="39">
        <f>+'FY24'!K61*(1+MYP!$M$9)</f>
        <v>3952.7875584000003</v>
      </c>
      <c r="L61" s="39">
        <f>+'FY24'!L61*(1+MYP!$M$9)</f>
        <v>3952.7875584000003</v>
      </c>
      <c r="M61" s="39">
        <f>+'FY24'!M61*(1+MYP!$M$9)</f>
        <v>3952.7875584000003</v>
      </c>
      <c r="N61" s="39">
        <f>+'FY24'!N61*(1+MYP!$M$9)</f>
        <v>3952.7875584000003</v>
      </c>
      <c r="O61" s="39">
        <f>+'FY24'!O61*(1+MYP!$M$9)</f>
        <v>3952.7875584000003</v>
      </c>
      <c r="P61" s="39">
        <f>+'FY24'!P61*(1+MYP!$M$9)</f>
        <v>3952.7875584000003</v>
      </c>
      <c r="Q61" s="98"/>
      <c r="R61" s="41"/>
      <c r="S61" s="59">
        <f t="shared" si="18"/>
        <v>47433.4507008</v>
      </c>
      <c r="T61" s="41"/>
      <c r="U61" s="39">
        <f>'FY24'!S61</f>
        <v>46503.383040000008</v>
      </c>
      <c r="V61" s="39">
        <f t="shared" si="19"/>
        <v>-930.06766079999215</v>
      </c>
      <c r="W61" s="39"/>
    </row>
    <row r="62" spans="3:23" s="37" customFormat="1" ht="12" x14ac:dyDescent="0.2">
      <c r="C62" s="38"/>
      <c r="E62" s="50">
        <f t="shared" ref="E62:P62" si="20">SUBTOTAL(9,E43:E61)</f>
        <v>32321.994988034465</v>
      </c>
      <c r="F62" s="50">
        <f t="shared" si="20"/>
        <v>32390.740254516062</v>
      </c>
      <c r="G62" s="50">
        <f t="shared" si="20"/>
        <v>32402.135017864381</v>
      </c>
      <c r="H62" s="50">
        <f t="shared" si="20"/>
        <v>32449.848627477182</v>
      </c>
      <c r="I62" s="50">
        <f t="shared" si="20"/>
        <v>32427.090491313182</v>
      </c>
      <c r="J62" s="50">
        <f t="shared" si="20"/>
        <v>32404.64626047558</v>
      </c>
      <c r="K62" s="50">
        <f t="shared" si="20"/>
        <v>32447.023479539581</v>
      </c>
      <c r="L62" s="50">
        <f t="shared" si="20"/>
        <v>32403.233686506781</v>
      </c>
      <c r="M62" s="50">
        <f t="shared" si="20"/>
        <v>32433.525550504382</v>
      </c>
      <c r="N62" s="50">
        <f t="shared" si="20"/>
        <v>32460.207503248381</v>
      </c>
      <c r="O62" s="50">
        <f t="shared" si="20"/>
        <v>32460.270284313661</v>
      </c>
      <c r="P62" s="50">
        <f t="shared" si="20"/>
        <v>32706.529012874464</v>
      </c>
      <c r="Q62" s="99"/>
      <c r="R62" s="41"/>
      <c r="S62" s="61">
        <f>SUBTOTAL(9,S43:S61)</f>
        <v>389307.24515666813</v>
      </c>
      <c r="T62" s="41"/>
      <c r="U62" s="50">
        <f>SUBTOTAL(9,U43:U61)</f>
        <v>381673.76976143918</v>
      </c>
      <c r="V62" s="50">
        <f>SUBTOTAL(9,V43:V61)</f>
        <v>-7633.4753952289066</v>
      </c>
      <c r="W62" s="39"/>
    </row>
    <row r="63" spans="3:23" s="37" customFormat="1" ht="12" x14ac:dyDescent="0.2">
      <c r="C63" s="49" t="s">
        <v>9</v>
      </c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100"/>
      <c r="R63" s="41"/>
      <c r="S63" s="59"/>
      <c r="T63" s="41"/>
      <c r="U63" s="39"/>
      <c r="V63" s="39"/>
      <c r="W63" s="39"/>
    </row>
    <row r="64" spans="3:23" s="37" customFormat="1" ht="12" x14ac:dyDescent="0.2">
      <c r="C64" s="199">
        <v>6300</v>
      </c>
      <c r="D64" s="37" t="s">
        <v>9</v>
      </c>
      <c r="E64" s="39">
        <f>+'FY24'!E64*(1+MYP!$M$10)</f>
        <v>3247.2964800000004</v>
      </c>
      <c r="F64" s="39">
        <f>+'FY24'!F64*(1+MYP!$M$10)</f>
        <v>8215.6600944000002</v>
      </c>
      <c r="G64" s="39">
        <f>+'FY24'!G64*(1+MYP!$M$10)</f>
        <v>8762.2883352000008</v>
      </c>
      <c r="H64" s="39">
        <f>+'FY24'!H64*(1+MYP!$M$10)</f>
        <v>9081.6058224000008</v>
      </c>
      <c r="I64" s="39">
        <f>+'FY24'!I64*(1+MYP!$M$10)</f>
        <v>4968.3636144000002</v>
      </c>
      <c r="J64" s="39">
        <f>+'FY24'!J64*(1+MYP!$M$10)</f>
        <v>4037.4719568</v>
      </c>
      <c r="K64" s="39">
        <f>+'FY24'!K64*(1+MYP!$M$10)</f>
        <v>4925.0663279999999</v>
      </c>
      <c r="L64" s="39">
        <f>+'FY24'!L64*(1+MYP!$M$10)</f>
        <v>4080.7692431999999</v>
      </c>
      <c r="M64" s="39">
        <f>+'FY24'!M64*(1+MYP!$M$10)</f>
        <v>2110.7427119999998</v>
      </c>
      <c r="N64" s="39">
        <f>+'FY24'!N64*(1+MYP!$M$10)</f>
        <v>2922.566832</v>
      </c>
      <c r="O64" s="39">
        <f>+'FY24'!O64*(1+MYP!$M$10)</f>
        <v>2164.8643200000001</v>
      </c>
      <c r="P64" s="39">
        <f>+'FY24'!P64*(1+MYP!$M$10)</f>
        <v>2435.4723600000002</v>
      </c>
      <c r="Q64" s="100"/>
      <c r="R64" s="41"/>
      <c r="S64" s="59">
        <f t="shared" ref="S64:S73" si="21">SUM(E64:Q64)</f>
        <v>56952.168098399998</v>
      </c>
      <c r="T64" s="41"/>
      <c r="U64" s="39">
        <f>'FY24'!S64</f>
        <v>55835.458920000005</v>
      </c>
      <c r="V64" s="39">
        <f t="shared" ref="V64:V73" si="22">U64-S64</f>
        <v>-1116.7091783999931</v>
      </c>
      <c r="W64" s="39"/>
    </row>
    <row r="65" spans="3:23" s="37" customFormat="1" ht="12" x14ac:dyDescent="0.2">
      <c r="C65" s="199">
        <v>6320</v>
      </c>
      <c r="D65" s="37" t="s">
        <v>10</v>
      </c>
      <c r="E65" s="39">
        <f>+'FY24'!E65*(1+MYP!$M$10)</f>
        <v>0</v>
      </c>
      <c r="F65" s="39">
        <f>+'FY24'!F65*(1+MYP!$M$10)</f>
        <v>0</v>
      </c>
      <c r="G65" s="39">
        <f>+'FY24'!G65*(1+MYP!$M$10)</f>
        <v>14288.104512000002</v>
      </c>
      <c r="H65" s="39">
        <f>+'FY24'!H65*(1+MYP!$M$10)</f>
        <v>270.60804000000002</v>
      </c>
      <c r="I65" s="39">
        <f>+'FY24'!I65*(1+MYP!$M$10)</f>
        <v>0</v>
      </c>
      <c r="J65" s="39">
        <f>+'FY24'!J65*(1+MYP!$M$10)</f>
        <v>0</v>
      </c>
      <c r="K65" s="39">
        <f>+'FY24'!K65*(1+MYP!$M$10)</f>
        <v>12989.185920000002</v>
      </c>
      <c r="L65" s="39">
        <f>+'FY24'!L65*(1+MYP!$M$10)</f>
        <v>324.72964800000005</v>
      </c>
      <c r="M65" s="39">
        <f>+'FY24'!M65*(1+MYP!$M$10)</f>
        <v>135.30402000000001</v>
      </c>
      <c r="N65" s="39">
        <f>+'FY24'!N65*(1+MYP!$M$10)</f>
        <v>12989.185920000002</v>
      </c>
      <c r="O65" s="39">
        <f>+'FY24'!O65*(1+MYP!$M$10)</f>
        <v>0</v>
      </c>
      <c r="P65" s="39">
        <f>+'FY24'!P65*(1+MYP!$M$10)</f>
        <v>12989.185920000002</v>
      </c>
      <c r="Q65" s="100"/>
      <c r="R65" s="41"/>
      <c r="S65" s="59">
        <f t="shared" si="21"/>
        <v>53986.303980000004</v>
      </c>
      <c r="T65" s="41"/>
      <c r="U65" s="39">
        <f>'FY24'!S65</f>
        <v>52927.749000000003</v>
      </c>
      <c r="V65" s="39">
        <f t="shared" si="22"/>
        <v>-1058.5549800000008</v>
      </c>
      <c r="W65" s="39"/>
    </row>
    <row r="66" spans="3:23" s="37" customFormat="1" ht="12" x14ac:dyDescent="0.2">
      <c r="C66" s="199">
        <v>6331</v>
      </c>
      <c r="D66" s="37" t="s">
        <v>11</v>
      </c>
      <c r="E66" s="39">
        <f>+'FY24'!E66*(1+MYP!$M$10)</f>
        <v>0</v>
      </c>
      <c r="F66" s="39">
        <f>+'FY24'!F66*(1+MYP!$M$10)</f>
        <v>2164.8643200000001</v>
      </c>
      <c r="G66" s="39">
        <f>+'FY24'!G66*(1+MYP!$M$10)</f>
        <v>0</v>
      </c>
      <c r="H66" s="39">
        <f>+'FY24'!H66*(1+MYP!$M$10)</f>
        <v>0</v>
      </c>
      <c r="I66" s="39">
        <f>+'FY24'!I66*(1+MYP!$M$10)</f>
        <v>0</v>
      </c>
      <c r="J66" s="39">
        <f>+'FY24'!J66*(1+MYP!$M$10)</f>
        <v>0</v>
      </c>
      <c r="K66" s="39">
        <f>+'FY24'!K66*(1+MYP!$M$10)</f>
        <v>0</v>
      </c>
      <c r="L66" s="39">
        <f>+'FY24'!L66*(1+MYP!$M$10)</f>
        <v>0</v>
      </c>
      <c r="M66" s="39">
        <f>+'FY24'!M66*(1+MYP!$M$10)</f>
        <v>0</v>
      </c>
      <c r="N66" s="39">
        <f>+'FY24'!N66*(1+MYP!$M$10)</f>
        <v>0</v>
      </c>
      <c r="O66" s="39">
        <f>+'FY24'!O66*(1+MYP!$M$10)</f>
        <v>0</v>
      </c>
      <c r="P66" s="39">
        <f>+'FY24'!P66*(1+MYP!$M$10)</f>
        <v>0</v>
      </c>
      <c r="Q66" s="100"/>
      <c r="R66" s="41"/>
      <c r="S66" s="59">
        <f t="shared" si="21"/>
        <v>2164.8643200000001</v>
      </c>
      <c r="T66" s="41"/>
      <c r="U66" s="39">
        <f>'FY24'!S66</f>
        <v>2122.4160000000002</v>
      </c>
      <c r="V66" s="39">
        <f t="shared" si="22"/>
        <v>-42.448319999999967</v>
      </c>
      <c r="W66" s="39"/>
    </row>
    <row r="67" spans="3:23" s="37" customFormat="1" ht="12" x14ac:dyDescent="0.2">
      <c r="C67" s="199">
        <v>6334</v>
      </c>
      <c r="D67" s="37" t="s">
        <v>12</v>
      </c>
      <c r="E67" s="39">
        <f>+'FY24'!E67*(1+MYP!$M$10)</f>
        <v>671.10793920000003</v>
      </c>
      <c r="F67" s="39">
        <f>+'FY24'!F67*(1+MYP!$M$10)</f>
        <v>4836.3068908799996</v>
      </c>
      <c r="G67" s="39">
        <f>+'FY24'!G67*(1+MYP!$M$10)</f>
        <v>1537.0536672000003</v>
      </c>
      <c r="H67" s="39">
        <f>+'FY24'!H67*(1+MYP!$M$10)</f>
        <v>2186.5129632000003</v>
      </c>
      <c r="I67" s="39">
        <f>+'FY24'!I67*(1+MYP!$M$10)</f>
        <v>671.10793920000003</v>
      </c>
      <c r="J67" s="39">
        <f>+'FY24'!J67*(1+MYP!$M$10)</f>
        <v>1131.1416072</v>
      </c>
      <c r="K67" s="39">
        <f>+'FY24'!K67*(1+MYP!$M$10)</f>
        <v>1104.0808032</v>
      </c>
      <c r="L67" s="39">
        <f>+'FY24'!L67*(1+MYP!$M$10)</f>
        <v>1753.5400992</v>
      </c>
      <c r="M67" s="39">
        <f>+'FY24'!M67*(1+MYP!$M$10)</f>
        <v>671.10793920000003</v>
      </c>
      <c r="N67" s="39">
        <f>+'FY24'!N67*(1+MYP!$M$10)</f>
        <v>1104.0808032</v>
      </c>
      <c r="O67" s="39">
        <f>+'FY24'!O67*(1+MYP!$M$10)</f>
        <v>671.10793920000003</v>
      </c>
      <c r="P67" s="39">
        <f>+'FY24'!P67*(1+MYP!$M$10)</f>
        <v>671.10793920000003</v>
      </c>
      <c r="Q67" s="100"/>
      <c r="R67" s="41"/>
      <c r="S67" s="59">
        <f t="shared" si="21"/>
        <v>17008.256530079998</v>
      </c>
      <c r="T67" s="41"/>
      <c r="U67" s="39">
        <f>'FY24'!S67</f>
        <v>16674.761304</v>
      </c>
      <c r="V67" s="39">
        <f t="shared" si="22"/>
        <v>-333.49522607999825</v>
      </c>
      <c r="W67" s="39"/>
    </row>
    <row r="68" spans="3:23" s="37" customFormat="1" ht="12" x14ac:dyDescent="0.2">
      <c r="C68" s="199">
        <v>6336</v>
      </c>
      <c r="D68" s="37" t="s">
        <v>13</v>
      </c>
      <c r="E68" s="39">
        <f>+'FY24'!E68*(1+MYP!$M$10)</f>
        <v>27.060804000000001</v>
      </c>
      <c r="F68" s="39">
        <f>+'FY24'!F68*(1+MYP!$M$10)</f>
        <v>2624.8979880000006</v>
      </c>
      <c r="G68" s="39">
        <f>+'FY24'!G68*(1+MYP!$M$10)</f>
        <v>460.03366800000003</v>
      </c>
      <c r="H68" s="39">
        <f>+'FY24'!H68*(1+MYP!$M$10)</f>
        <v>2462.5331639999999</v>
      </c>
      <c r="I68" s="39">
        <f>+'FY24'!I68*(1+MYP!$M$10)</f>
        <v>27.060804000000001</v>
      </c>
      <c r="J68" s="39">
        <f>+'FY24'!J68*(1+MYP!$M$10)</f>
        <v>579.10120560000007</v>
      </c>
      <c r="K68" s="39">
        <f>+'FY24'!K68*(1+MYP!$M$10)</f>
        <v>27.060804000000001</v>
      </c>
      <c r="L68" s="39">
        <f>+'FY24'!L68*(1+MYP!$M$10)</f>
        <v>2462.5331639999999</v>
      </c>
      <c r="M68" s="39">
        <f>+'FY24'!M68*(1+MYP!$M$10)</f>
        <v>27.060804000000001</v>
      </c>
      <c r="N68" s="39">
        <f>+'FY24'!N68*(1+MYP!$M$10)</f>
        <v>27.060804000000001</v>
      </c>
      <c r="O68" s="39">
        <f>+'FY24'!O68*(1+MYP!$M$10)</f>
        <v>27.060804000000001</v>
      </c>
      <c r="P68" s="39">
        <f>+'FY24'!P68*(1+MYP!$M$10)</f>
        <v>27.060804000000001</v>
      </c>
      <c r="Q68" s="100"/>
      <c r="R68" s="41"/>
      <c r="S68" s="59">
        <f t="shared" si="21"/>
        <v>8778.5248176000023</v>
      </c>
      <c r="T68" s="41"/>
      <c r="U68" s="39">
        <f>'FY24'!S68</f>
        <v>8606.3968799999984</v>
      </c>
      <c r="V68" s="39">
        <f t="shared" si="22"/>
        <v>-172.12793760000386</v>
      </c>
      <c r="W68" s="39"/>
    </row>
    <row r="69" spans="3:23" s="37" customFormat="1" ht="12" x14ac:dyDescent="0.2">
      <c r="C69" s="199">
        <v>6337</v>
      </c>
      <c r="D69" s="37" t="s">
        <v>14</v>
      </c>
      <c r="E69" s="39">
        <f>+'FY24'!E69*(1+MYP!$M$10)</f>
        <v>27.060804000000001</v>
      </c>
      <c r="F69" s="39">
        <f>+'FY24'!F69*(1+MYP!$M$10)</f>
        <v>2624.8979880000006</v>
      </c>
      <c r="G69" s="39">
        <f>+'FY24'!G69*(1+MYP!$M$10)</f>
        <v>460.03366800000003</v>
      </c>
      <c r="H69" s="39">
        <f>+'FY24'!H69*(1+MYP!$M$10)</f>
        <v>2462.5331639999999</v>
      </c>
      <c r="I69" s="39">
        <f>+'FY24'!I69*(1+MYP!$M$10)</f>
        <v>27.060804000000001</v>
      </c>
      <c r="J69" s="39">
        <f>+'FY24'!J69*(1+MYP!$M$10)</f>
        <v>579.10120560000007</v>
      </c>
      <c r="K69" s="39">
        <f>+'FY24'!K69*(1+MYP!$M$10)</f>
        <v>27.060804000000001</v>
      </c>
      <c r="L69" s="39">
        <f>+'FY24'!L69*(1+MYP!$M$10)</f>
        <v>2462.5331639999999</v>
      </c>
      <c r="M69" s="39">
        <f>+'FY24'!M69*(1+MYP!$M$10)</f>
        <v>27.060804000000001</v>
      </c>
      <c r="N69" s="39">
        <f>+'FY24'!N69*(1+MYP!$M$10)</f>
        <v>27.060804000000001</v>
      </c>
      <c r="O69" s="39">
        <f>+'FY24'!O69*(1+MYP!$M$10)</f>
        <v>27.060804000000001</v>
      </c>
      <c r="P69" s="39">
        <f>+'FY24'!P69*(1+MYP!$M$10)</f>
        <v>27.060804000000001</v>
      </c>
      <c r="Q69" s="100"/>
      <c r="R69" s="41"/>
      <c r="S69" s="59">
        <f t="shared" si="21"/>
        <v>8778.5248176000023</v>
      </c>
      <c r="T69" s="41"/>
      <c r="U69" s="39">
        <f>'FY24'!S69</f>
        <v>8606.3968799999984</v>
      </c>
      <c r="V69" s="39">
        <f t="shared" si="22"/>
        <v>-172.12793760000386</v>
      </c>
      <c r="W69" s="39"/>
    </row>
    <row r="70" spans="3:23" s="37" customFormat="1" ht="12" x14ac:dyDescent="0.2">
      <c r="C70" s="199">
        <v>6340</v>
      </c>
      <c r="D70" s="37" t="s">
        <v>15</v>
      </c>
      <c r="E70" s="39">
        <f>+'FY24'!E70*(1+MYP!$M$10)</f>
        <v>108.243216</v>
      </c>
      <c r="F70" s="39">
        <f>+'FY24'!F70*(1+MYP!$M$10)</f>
        <v>6873.4442159999999</v>
      </c>
      <c r="G70" s="39">
        <f>+'FY24'!G70*(1+MYP!$M$10)</f>
        <v>4004.9989919999998</v>
      </c>
      <c r="H70" s="39">
        <f>+'FY24'!H70*(1+MYP!$M$10)</f>
        <v>29063.303496000004</v>
      </c>
      <c r="I70" s="39">
        <f>+'FY24'!I70*(1+MYP!$M$10)</f>
        <v>2056.6211039999998</v>
      </c>
      <c r="J70" s="39">
        <f>+'FY24'!J70*(1+MYP!$M$10)</f>
        <v>108.243216</v>
      </c>
      <c r="K70" s="39">
        <f>+'FY24'!K70*(1+MYP!$M$10)</f>
        <v>7793.5115520000008</v>
      </c>
      <c r="L70" s="39">
        <f>+'FY24'!L70*(1+MYP!$M$10)</f>
        <v>2586.1902139583995</v>
      </c>
      <c r="M70" s="39">
        <f>+'FY24'!M70*(1+MYP!$M$10)</f>
        <v>108.243216</v>
      </c>
      <c r="N70" s="39">
        <f>+'FY24'!N70*(1+MYP!$M$10)</f>
        <v>920.06733600000007</v>
      </c>
      <c r="O70" s="39">
        <f>+'FY24'!O70*(1+MYP!$M$10)</f>
        <v>2760.2020079999998</v>
      </c>
      <c r="P70" s="39">
        <f>+'FY24'!P70*(1+MYP!$M$10)</f>
        <v>11284.355267999999</v>
      </c>
      <c r="Q70" s="100"/>
      <c r="R70" s="41"/>
      <c r="S70" s="59">
        <f t="shared" si="21"/>
        <v>67667.423833958412</v>
      </c>
      <c r="T70" s="41"/>
      <c r="U70" s="39">
        <f>'FY24'!S70</f>
        <v>66340.611601919998</v>
      </c>
      <c r="V70" s="39">
        <f t="shared" si="22"/>
        <v>-1326.8122320384136</v>
      </c>
      <c r="W70" s="39"/>
    </row>
    <row r="71" spans="3:23" s="37" customFormat="1" ht="12" x14ac:dyDescent="0.2">
      <c r="C71" s="199">
        <v>6345</v>
      </c>
      <c r="D71" s="37" t="s">
        <v>16</v>
      </c>
      <c r="E71" s="39">
        <f>+'FY24'!E71*(1+MYP!$M$10)</f>
        <v>1758.9522600000003</v>
      </c>
      <c r="F71" s="39">
        <f>+'FY24'!F71*(1+MYP!$M$10)</f>
        <v>1758.9522600000003</v>
      </c>
      <c r="G71" s="39">
        <f>+'FY24'!G71*(1+MYP!$M$10)</f>
        <v>4356.789444</v>
      </c>
      <c r="H71" s="39">
        <f>+'FY24'!H71*(1+MYP!$M$10)</f>
        <v>1758.9522600000003</v>
      </c>
      <c r="I71" s="39">
        <f>+'FY24'!I71*(1+MYP!$M$10)</f>
        <v>1758.9522600000003</v>
      </c>
      <c r="J71" s="39">
        <f>+'FY24'!J71*(1+MYP!$M$10)</f>
        <v>1758.9522600000003</v>
      </c>
      <c r="K71" s="39">
        <f>+'FY24'!K71*(1+MYP!$M$10)</f>
        <v>1758.9522600000003</v>
      </c>
      <c r="L71" s="39">
        <f>+'FY24'!L71*(1+MYP!$M$10)</f>
        <v>1758.9522600000003</v>
      </c>
      <c r="M71" s="39">
        <f>+'FY24'!M71*(1+MYP!$M$10)</f>
        <v>1758.9522600000003</v>
      </c>
      <c r="N71" s="39">
        <f>+'FY24'!N71*(1+MYP!$M$10)</f>
        <v>1758.9522600000003</v>
      </c>
      <c r="O71" s="39">
        <f>+'FY24'!O71*(1+MYP!$M$10)</f>
        <v>1758.9522600000003</v>
      </c>
      <c r="P71" s="39">
        <f>+'FY24'!P71*(1+MYP!$M$10)</f>
        <v>1758.9522600000003</v>
      </c>
      <c r="Q71" s="100"/>
      <c r="R71" s="41"/>
      <c r="S71" s="59">
        <f t="shared" si="21"/>
        <v>23705.264304000008</v>
      </c>
      <c r="T71" s="41"/>
      <c r="U71" s="39">
        <f>'FY24'!S71</f>
        <v>23240.4552</v>
      </c>
      <c r="V71" s="39">
        <f t="shared" si="22"/>
        <v>-464.80910400000721</v>
      </c>
      <c r="W71" s="39"/>
    </row>
    <row r="72" spans="3:23" s="37" customFormat="1" ht="12" x14ac:dyDescent="0.2">
      <c r="C72" s="199">
        <v>6350</v>
      </c>
      <c r="D72" s="37" t="s">
        <v>17</v>
      </c>
      <c r="E72" s="39">
        <f>+'FY24'!E72*(1+MYP!$M$10)</f>
        <v>108.243216</v>
      </c>
      <c r="F72" s="39">
        <f>+'FY24'!F72*(1+MYP!$M$10)</f>
        <v>108.243216</v>
      </c>
      <c r="G72" s="39">
        <f>+'FY24'!G72*(1+MYP!$M$10)</f>
        <v>920.06733600000007</v>
      </c>
      <c r="H72" s="39">
        <f>+'FY24'!H72*(1+MYP!$M$10)</f>
        <v>1461.283416</v>
      </c>
      <c r="I72" s="39">
        <f>+'FY24'!I72*(1+MYP!$M$10)</f>
        <v>920.06733600000007</v>
      </c>
      <c r="J72" s="39">
        <f>+'FY24'!J72*(1+MYP!$M$10)</f>
        <v>108.243216</v>
      </c>
      <c r="K72" s="39">
        <f>+'FY24'!K72*(1+MYP!$M$10)</f>
        <v>649.45929600000011</v>
      </c>
      <c r="L72" s="39">
        <f>+'FY24'!L72*(1+MYP!$M$10)</f>
        <v>1190.6753759999999</v>
      </c>
      <c r="M72" s="39">
        <f>+'FY24'!M72*(1+MYP!$M$10)</f>
        <v>649.45929600000011</v>
      </c>
      <c r="N72" s="39">
        <f>+'FY24'!N72*(1+MYP!$M$10)</f>
        <v>108.243216</v>
      </c>
      <c r="O72" s="39">
        <f>+'FY24'!O72*(1+MYP!$M$10)</f>
        <v>378.85125599999998</v>
      </c>
      <c r="P72" s="39">
        <f>+'FY24'!P72*(1+MYP!$M$10)</f>
        <v>108.243216</v>
      </c>
      <c r="Q72" s="100"/>
      <c r="R72" s="41"/>
      <c r="S72" s="59">
        <f t="shared" si="21"/>
        <v>6711.0793919999996</v>
      </c>
      <c r="T72" s="41"/>
      <c r="U72" s="39">
        <f>'FY24'!S72</f>
        <v>6579.4895999999999</v>
      </c>
      <c r="V72" s="39">
        <f t="shared" si="22"/>
        <v>-131.58979199999976</v>
      </c>
      <c r="W72" s="39"/>
    </row>
    <row r="73" spans="3:23" s="37" customFormat="1" ht="12" x14ac:dyDescent="0.2">
      <c r="C73" s="199">
        <v>6351</v>
      </c>
      <c r="D73" s="37" t="s">
        <v>18</v>
      </c>
      <c r="E73" s="39">
        <f>+'FY24'!E73*(1+MYP!$M$10)</f>
        <v>0</v>
      </c>
      <c r="F73" s="39">
        <f>+'FY24'!F73*(1+MYP!$M$10)</f>
        <v>0</v>
      </c>
      <c r="G73" s="39">
        <f>+'FY24'!G73*(1+MYP!$M$10)</f>
        <v>0</v>
      </c>
      <c r="H73" s="39">
        <f>+'FY24'!H73*(1+MYP!$M$10)</f>
        <v>25931.567473401599</v>
      </c>
      <c r="I73" s="39">
        <f>+'FY24'!I73*(1+MYP!$M$10)</f>
        <v>915.99739107840003</v>
      </c>
      <c r="J73" s="39">
        <f>+'FY24'!J73*(1+MYP!$M$10)</f>
        <v>0</v>
      </c>
      <c r="K73" s="39">
        <f>+'FY24'!K73*(1+MYP!$M$10)</f>
        <v>0</v>
      </c>
      <c r="L73" s="39">
        <f>+'FY24'!L73*(1+MYP!$M$10)</f>
        <v>3156.3721785600005</v>
      </c>
      <c r="M73" s="39">
        <f>+'FY24'!M73*(1+MYP!$M$10)</f>
        <v>0</v>
      </c>
      <c r="N73" s="39">
        <f>+'FY24'!N73*(1+MYP!$M$10)</f>
        <v>10716.078384000002</v>
      </c>
      <c r="O73" s="39">
        <f>+'FY24'!O73*(1+MYP!$M$10)</f>
        <v>0</v>
      </c>
      <c r="P73" s="39">
        <f>+'FY24'!P73*(1+MYP!$M$10)</f>
        <v>0</v>
      </c>
      <c r="Q73" s="100"/>
      <c r="R73" s="41"/>
      <c r="S73" s="59">
        <f t="shared" si="21"/>
        <v>40720.015427040002</v>
      </c>
      <c r="T73" s="41"/>
      <c r="U73" s="39">
        <f>'FY24'!S73</f>
        <v>39921.583752000006</v>
      </c>
      <c r="V73" s="39">
        <f t="shared" si="22"/>
        <v>-798.43167503999575</v>
      </c>
      <c r="W73" s="39"/>
    </row>
    <row r="74" spans="3:23" s="37" customFormat="1" ht="12" x14ac:dyDescent="0.2">
      <c r="C74" s="38"/>
      <c r="E74" s="50">
        <f>SUBTOTAL(9,E64:E73)</f>
        <v>5947.9647192000011</v>
      </c>
      <c r="F74" s="50">
        <f t="shared" ref="F74:V74" si="23">SUBTOTAL(9,F64:F73)</f>
        <v>29207.266973280002</v>
      </c>
      <c r="G74" s="50">
        <f t="shared" si="23"/>
        <v>34789.369622400009</v>
      </c>
      <c r="H74" s="50">
        <f t="shared" si="23"/>
        <v>74678.899799001607</v>
      </c>
      <c r="I74" s="50">
        <f t="shared" si="23"/>
        <v>11345.231252678399</v>
      </c>
      <c r="J74" s="50">
        <f t="shared" si="23"/>
        <v>8302.2546672000008</v>
      </c>
      <c r="K74" s="50">
        <f t="shared" si="23"/>
        <v>29274.377767200003</v>
      </c>
      <c r="L74" s="50">
        <f t="shared" si="23"/>
        <v>19776.295346918399</v>
      </c>
      <c r="M74" s="50">
        <f t="shared" si="23"/>
        <v>5487.9310512000002</v>
      </c>
      <c r="N74" s="50">
        <f t="shared" si="23"/>
        <v>30573.296359200009</v>
      </c>
      <c r="O74" s="50">
        <f t="shared" si="23"/>
        <v>7788.0993912000004</v>
      </c>
      <c r="P74" s="50">
        <f t="shared" si="23"/>
        <v>29301.4385712</v>
      </c>
      <c r="Q74" s="99"/>
      <c r="R74" s="41"/>
      <c r="S74" s="61">
        <f t="shared" si="23"/>
        <v>286472.4255206784</v>
      </c>
      <c r="T74" s="41"/>
      <c r="U74" s="50">
        <f t="shared" si="23"/>
        <v>280855.31913791999</v>
      </c>
      <c r="V74" s="50">
        <f t="shared" si="23"/>
        <v>-5617.1063827584157</v>
      </c>
      <c r="W74" s="39"/>
    </row>
    <row r="75" spans="3:23" s="37" customFormat="1" ht="12" x14ac:dyDescent="0.2">
      <c r="C75" s="49" t="s">
        <v>100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100"/>
      <c r="R75" s="41"/>
      <c r="S75" s="59"/>
      <c r="T75" s="41"/>
      <c r="U75" s="39"/>
      <c r="V75" s="39"/>
      <c r="W75" s="39"/>
    </row>
    <row r="76" spans="3:23" s="37" customFormat="1" ht="12" x14ac:dyDescent="0.2">
      <c r="C76" s="199">
        <v>6410</v>
      </c>
      <c r="D76" s="37" t="s">
        <v>19</v>
      </c>
      <c r="E76" s="39">
        <f>+'FY24'!E76*(1+MYP!$M$10)</f>
        <v>0</v>
      </c>
      <c r="F76" s="39">
        <f>+'FY24'!F76*(1+MYP!$M$10)</f>
        <v>0</v>
      </c>
      <c r="G76" s="39">
        <f>+'FY24'!G76*(1+MYP!$M$10)</f>
        <v>0</v>
      </c>
      <c r="H76" s="39">
        <f>+'FY24'!H76*(1+MYP!$M$10)</f>
        <v>0</v>
      </c>
      <c r="I76" s="39">
        <f>+'FY24'!I76*(1+MYP!$M$10)</f>
        <v>0</v>
      </c>
      <c r="J76" s="39">
        <f>+'FY24'!J76*(1+MYP!$M$10)</f>
        <v>0</v>
      </c>
      <c r="K76" s="39">
        <f>+'FY24'!K76*(1+MYP!$M$10)</f>
        <v>0</v>
      </c>
      <c r="L76" s="39">
        <f>+'FY24'!L76*(1+MYP!$M$10)</f>
        <v>0</v>
      </c>
      <c r="M76" s="39">
        <f>+'FY24'!M76*(1+MYP!$M$10)</f>
        <v>0</v>
      </c>
      <c r="N76" s="39">
        <f>+'FY24'!N76*(1+MYP!$M$10)</f>
        <v>0</v>
      </c>
      <c r="O76" s="39">
        <f>+'FY24'!O76*(1+MYP!$M$10)</f>
        <v>0</v>
      </c>
      <c r="P76" s="39">
        <f>+'FY24'!P76*(1+MYP!$M$10)</f>
        <v>0</v>
      </c>
      <c r="Q76" s="100"/>
      <c r="R76" s="41"/>
      <c r="S76" s="59">
        <f t="shared" ref="S76:S79" si="24">SUM(E76:Q76)</f>
        <v>0</v>
      </c>
      <c r="T76" s="41"/>
      <c r="U76" s="39">
        <f>'FY24'!S76</f>
        <v>0</v>
      </c>
      <c r="V76" s="39">
        <f t="shared" ref="V76:V79" si="25">U76-S76</f>
        <v>0</v>
      </c>
      <c r="W76" s="39"/>
    </row>
    <row r="77" spans="3:23" s="37" customFormat="1" ht="12" x14ac:dyDescent="0.2">
      <c r="C77" s="199">
        <v>6420</v>
      </c>
      <c r="D77" s="37" t="s">
        <v>20</v>
      </c>
      <c r="E77" s="39">
        <f>+'FY24'!E77*(1+MYP!$M$10)</f>
        <v>654.87145680000003</v>
      </c>
      <c r="F77" s="39">
        <f>+'FY24'!F77*(1+MYP!$M$10)</f>
        <v>432.97286400000002</v>
      </c>
      <c r="G77" s="39">
        <f>+'FY24'!G77*(1+MYP!$M$10)</f>
        <v>432.97286400000002</v>
      </c>
      <c r="H77" s="39">
        <f>+'FY24'!H77*(1+MYP!$M$10)</f>
        <v>654.87145680000003</v>
      </c>
      <c r="I77" s="39">
        <f>+'FY24'!I77*(1+MYP!$M$10)</f>
        <v>432.97286400000002</v>
      </c>
      <c r="J77" s="39">
        <f>+'FY24'!J77*(1+MYP!$M$10)</f>
        <v>432.97286400000002</v>
      </c>
      <c r="K77" s="39">
        <f>+'FY24'!K77*(1+MYP!$M$10)</f>
        <v>654.87145680000003</v>
      </c>
      <c r="L77" s="39">
        <f>+'FY24'!L77*(1+MYP!$M$10)</f>
        <v>432.97286400000002</v>
      </c>
      <c r="M77" s="39">
        <f>+'FY24'!M77*(1+MYP!$M$10)</f>
        <v>432.97286400000002</v>
      </c>
      <c r="N77" s="39">
        <f>+'FY24'!N77*(1+MYP!$M$10)</f>
        <v>432.97286400000002</v>
      </c>
      <c r="O77" s="39">
        <f>+'FY24'!O77*(1+MYP!$M$10)</f>
        <v>654.87145680000003</v>
      </c>
      <c r="P77" s="39">
        <f>+'FY24'!P77*(1+MYP!$M$10)</f>
        <v>432.97286400000002</v>
      </c>
      <c r="Q77" s="100"/>
      <c r="R77" s="41"/>
      <c r="S77" s="59">
        <f t="shared" si="24"/>
        <v>6083.2687392000016</v>
      </c>
      <c r="T77" s="41"/>
      <c r="U77" s="39">
        <f>'FY24'!S77</f>
        <v>5963.9889599999997</v>
      </c>
      <c r="V77" s="39">
        <f t="shared" si="25"/>
        <v>-119.27977920000194</v>
      </c>
      <c r="W77" s="39"/>
    </row>
    <row r="78" spans="3:23" s="37" customFormat="1" ht="12" x14ac:dyDescent="0.2">
      <c r="C78" s="199">
        <v>6430</v>
      </c>
      <c r="D78" s="37" t="s">
        <v>21</v>
      </c>
      <c r="E78" s="39">
        <f>+'FY24'!E78*(1+MYP!$M$10)</f>
        <v>0</v>
      </c>
      <c r="F78" s="39">
        <f>+'FY24'!F78*(1+MYP!$M$10)</f>
        <v>0</v>
      </c>
      <c r="G78" s="39">
        <f>+'FY24'!G78*(1+MYP!$M$10)</f>
        <v>162.36482400000003</v>
      </c>
      <c r="H78" s="39">
        <f>+'FY24'!H78*(1+MYP!$M$10)</f>
        <v>162.36482400000003</v>
      </c>
      <c r="I78" s="39">
        <f>+'FY24'!I78*(1+MYP!$M$10)</f>
        <v>0</v>
      </c>
      <c r="J78" s="39">
        <f>+'FY24'!J78*(1+MYP!$M$10)</f>
        <v>0</v>
      </c>
      <c r="K78" s="39">
        <f>+'FY24'!K78*(1+MYP!$M$10)</f>
        <v>0</v>
      </c>
      <c r="L78" s="39">
        <f>+'FY24'!L78*(1+MYP!$M$10)</f>
        <v>0</v>
      </c>
      <c r="M78" s="39">
        <f>+'FY24'!M78*(1+MYP!$M$10)</f>
        <v>162.36482400000003</v>
      </c>
      <c r="N78" s="39">
        <f>+'FY24'!N78*(1+MYP!$M$10)</f>
        <v>162.36482400000003</v>
      </c>
      <c r="O78" s="39">
        <f>+'FY24'!O78*(1+MYP!$M$10)</f>
        <v>0</v>
      </c>
      <c r="P78" s="39">
        <f>+'FY24'!P78*(1+MYP!$M$10)</f>
        <v>0</v>
      </c>
      <c r="Q78" s="100"/>
      <c r="R78" s="41"/>
      <c r="S78" s="59">
        <f t="shared" si="24"/>
        <v>649.45929600000011</v>
      </c>
      <c r="T78" s="41"/>
      <c r="U78" s="39">
        <f>'FY24'!S78</f>
        <v>636.72480000000007</v>
      </c>
      <c r="V78" s="39">
        <f t="shared" si="25"/>
        <v>-12.734496000000036</v>
      </c>
      <c r="W78" s="39"/>
    </row>
    <row r="79" spans="3:23" s="37" customFormat="1" ht="12" x14ac:dyDescent="0.2">
      <c r="C79" s="199">
        <v>6441</v>
      </c>
      <c r="D79" s="37" t="s">
        <v>22</v>
      </c>
      <c r="E79" s="39">
        <f>+'FY24'!E79*(1+MYP!$M$10)</f>
        <v>5642.7188500800003</v>
      </c>
      <c r="F79" s="39">
        <f>+'FY24'!F79*(1+MYP!$M$10)</f>
        <v>24801.768082080001</v>
      </c>
      <c r="G79" s="39">
        <f>+'FY24'!G79*(1+MYP!$M$10)</f>
        <v>8619.4072900800002</v>
      </c>
      <c r="H79" s="39">
        <f>+'FY24'!H79*(1+MYP!$M$10)</f>
        <v>8619.4072900800002</v>
      </c>
      <c r="I79" s="39">
        <f>+'FY24'!I79*(1+MYP!$M$10)</f>
        <v>8619.4072900800002</v>
      </c>
      <c r="J79" s="39">
        <f>+'FY24'!J79*(1+MYP!$M$10)</f>
        <v>5642.7188500800003</v>
      </c>
      <c r="K79" s="39">
        <f>+'FY24'!K79*(1+MYP!$M$10)</f>
        <v>9972.4474900800014</v>
      </c>
      <c r="L79" s="39">
        <f>+'FY24'!L79*(1+MYP!$M$10)</f>
        <v>8619.4072900800002</v>
      </c>
      <c r="M79" s="39">
        <f>+'FY24'!M79*(1+MYP!$M$10)</f>
        <v>8619.4072900800002</v>
      </c>
      <c r="N79" s="39">
        <f>+'FY24'!N79*(1+MYP!$M$10)</f>
        <v>11866.703770080003</v>
      </c>
      <c r="O79" s="39">
        <f>+'FY24'!O79*(1+MYP!$M$10)</f>
        <v>5642.7188500800003</v>
      </c>
      <c r="P79" s="39">
        <f>+'FY24'!P79*(1+MYP!$M$10)</f>
        <v>5642.7188500800003</v>
      </c>
      <c r="Q79" s="100"/>
      <c r="R79" s="41"/>
      <c r="S79" s="59">
        <f t="shared" si="24"/>
        <v>112308.83119295999</v>
      </c>
      <c r="T79" s="41"/>
      <c r="U79" s="39">
        <f>'FY24'!S79</f>
        <v>110106.69724800003</v>
      </c>
      <c r="V79" s="39">
        <f t="shared" si="25"/>
        <v>-2202.1339449599618</v>
      </c>
      <c r="W79" s="39"/>
    </row>
    <row r="80" spans="3:23" s="37" customFormat="1" ht="12" x14ac:dyDescent="0.2">
      <c r="C80" s="38"/>
      <c r="E80" s="50">
        <f>SUBTOTAL(9,E76:E79)</f>
        <v>6297.5903068799998</v>
      </c>
      <c r="F80" s="50">
        <f t="shared" ref="F80:V80" si="26">SUBTOTAL(9,F76:F79)</f>
        <v>25234.740946080001</v>
      </c>
      <c r="G80" s="50">
        <f t="shared" si="26"/>
        <v>9214.7449780799998</v>
      </c>
      <c r="H80" s="50">
        <f t="shared" si="26"/>
        <v>9436.64357088</v>
      </c>
      <c r="I80" s="50">
        <f t="shared" si="26"/>
        <v>9052.3801540799996</v>
      </c>
      <c r="J80" s="50">
        <f t="shared" si="26"/>
        <v>6075.6917140800006</v>
      </c>
      <c r="K80" s="50">
        <f t="shared" si="26"/>
        <v>10627.318946880001</v>
      </c>
      <c r="L80" s="50">
        <f t="shared" si="26"/>
        <v>9052.3801540799996</v>
      </c>
      <c r="M80" s="50">
        <f t="shared" si="26"/>
        <v>9214.7449780799998</v>
      </c>
      <c r="N80" s="50">
        <f t="shared" si="26"/>
        <v>12462.041458080002</v>
      </c>
      <c r="O80" s="50">
        <f t="shared" si="26"/>
        <v>6297.5903068799998</v>
      </c>
      <c r="P80" s="50">
        <f t="shared" si="26"/>
        <v>6075.6917140800006</v>
      </c>
      <c r="Q80" s="99"/>
      <c r="R80" s="41"/>
      <c r="S80" s="61">
        <f t="shared" si="26"/>
        <v>119041.55922815998</v>
      </c>
      <c r="T80" s="41"/>
      <c r="U80" s="50">
        <f t="shared" si="26"/>
        <v>116707.41100800002</v>
      </c>
      <c r="V80" s="50">
        <f t="shared" si="26"/>
        <v>-2334.1482201599638</v>
      </c>
      <c r="W80" s="39"/>
    </row>
    <row r="81" spans="3:23" s="37" customFormat="1" ht="12" x14ac:dyDescent="0.2">
      <c r="C81" s="49" t="s">
        <v>101</v>
      </c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100"/>
      <c r="R81" s="41"/>
      <c r="S81" s="59"/>
      <c r="T81" s="41"/>
      <c r="U81" s="39"/>
      <c r="V81" s="39"/>
      <c r="W81" s="39"/>
    </row>
    <row r="82" spans="3:23" s="37" customFormat="1" ht="12" x14ac:dyDescent="0.2">
      <c r="C82" s="199">
        <v>6519</v>
      </c>
      <c r="D82" s="37" t="s">
        <v>234</v>
      </c>
      <c r="E82" s="39">
        <f>+'FY24'!E82*(1+MYP!$M$10)</f>
        <v>0</v>
      </c>
      <c r="F82" s="39">
        <f>+'FY24'!F82*(1+MYP!$M$10)</f>
        <v>0</v>
      </c>
      <c r="G82" s="39">
        <f>+'FY24'!G82*(1+MYP!$M$10)</f>
        <v>0</v>
      </c>
      <c r="H82" s="39">
        <f>+'FY24'!H82*(1+MYP!$M$10)</f>
        <v>0</v>
      </c>
      <c r="I82" s="39">
        <f>+'FY24'!I82*(1+MYP!$M$10)</f>
        <v>0</v>
      </c>
      <c r="J82" s="39">
        <f>+'FY24'!J82*(1+MYP!$M$10)</f>
        <v>0</v>
      </c>
      <c r="K82" s="39">
        <f>+'FY24'!K82*(1+MYP!$M$10)</f>
        <v>0</v>
      </c>
      <c r="L82" s="39">
        <f>+'FY24'!L82*(1+MYP!$M$10)</f>
        <v>0</v>
      </c>
      <c r="M82" s="39">
        <f>+'FY24'!M82*(1+MYP!$M$10)</f>
        <v>0</v>
      </c>
      <c r="N82" s="39">
        <f>+'FY24'!N82*(1+MYP!$M$10)</f>
        <v>0</v>
      </c>
      <c r="O82" s="39">
        <f>+'FY24'!O82*(1+MYP!$M$10)</f>
        <v>0</v>
      </c>
      <c r="P82" s="39">
        <f>+'FY24'!P82*(1+MYP!$M$10)</f>
        <v>0</v>
      </c>
      <c r="Q82" s="100"/>
      <c r="R82" s="41"/>
      <c r="S82" s="59">
        <f t="shared" ref="S82:S93" si="27">SUM(E82:Q82)</f>
        <v>0</v>
      </c>
      <c r="T82" s="41"/>
      <c r="U82" s="39">
        <f>'FY24'!S82</f>
        <v>0</v>
      </c>
      <c r="V82" s="39">
        <f t="shared" ref="V82:V93" si="28">U82-S82</f>
        <v>0</v>
      </c>
      <c r="W82" s="39"/>
    </row>
    <row r="83" spans="3:23" s="37" customFormat="1" ht="12" x14ac:dyDescent="0.2">
      <c r="C83" s="199">
        <v>6521</v>
      </c>
      <c r="D83" s="37" t="s">
        <v>24</v>
      </c>
      <c r="E83" s="39">
        <f>+'FY24'!E83*(1+MYP!$M$10)</f>
        <v>160.56077040000002</v>
      </c>
      <c r="F83" s="39">
        <f>+'FY24'!F83*(1+MYP!$M$10)</f>
        <v>160.56077040000002</v>
      </c>
      <c r="G83" s="39">
        <f>+'FY24'!G83*(1+MYP!$M$10)</f>
        <v>160.56077040000002</v>
      </c>
      <c r="H83" s="39">
        <f>+'FY24'!H83*(1+MYP!$M$10)</f>
        <v>160.56077040000002</v>
      </c>
      <c r="I83" s="39">
        <f>+'FY24'!I83*(1+MYP!$M$10)</f>
        <v>160.56077040000002</v>
      </c>
      <c r="J83" s="39">
        <f>+'FY24'!J83*(1+MYP!$M$10)</f>
        <v>160.56077040000002</v>
      </c>
      <c r="K83" s="39">
        <f>+'FY24'!K83*(1+MYP!$M$10)</f>
        <v>160.56077040000002</v>
      </c>
      <c r="L83" s="39">
        <f>+'FY24'!L83*(1+MYP!$M$10)</f>
        <v>160.56077040000002</v>
      </c>
      <c r="M83" s="39">
        <f>+'FY24'!M83*(1+MYP!$M$10)</f>
        <v>160.56077040000002</v>
      </c>
      <c r="N83" s="39">
        <f>+'FY24'!N83*(1+MYP!$M$10)</f>
        <v>160.56077040000002</v>
      </c>
      <c r="O83" s="39">
        <f>+'FY24'!O83*(1+MYP!$M$10)</f>
        <v>160.56077040000002</v>
      </c>
      <c r="P83" s="39">
        <f>+'FY24'!P83*(1+MYP!$M$10)</f>
        <v>160.56077040000002</v>
      </c>
      <c r="Q83" s="100"/>
      <c r="R83" s="41"/>
      <c r="S83" s="59">
        <f t="shared" si="27"/>
        <v>1926.7292447999998</v>
      </c>
      <c r="T83" s="41"/>
      <c r="U83" s="39">
        <f>'FY24'!S83</f>
        <v>1888.9502400000008</v>
      </c>
      <c r="V83" s="39">
        <f t="shared" si="28"/>
        <v>-37.779004799999029</v>
      </c>
      <c r="W83" s="39"/>
    </row>
    <row r="84" spans="3:23" s="37" customFormat="1" ht="12" x14ac:dyDescent="0.2">
      <c r="C84" s="199">
        <v>6522</v>
      </c>
      <c r="D84" s="37" t="s">
        <v>25</v>
      </c>
      <c r="E84" s="39">
        <f>+'FY24'!E84*(1+MYP!$M$10)</f>
        <v>2721.1442475600002</v>
      </c>
      <c r="F84" s="39">
        <f>+'FY24'!F84*(1+MYP!$M$10)</f>
        <v>2721.1442475600002</v>
      </c>
      <c r="G84" s="39">
        <f>+'FY24'!G84*(1+MYP!$M$10)</f>
        <v>2721.1442475600002</v>
      </c>
      <c r="H84" s="39">
        <f>+'FY24'!H84*(1+MYP!$M$10)</f>
        <v>2721.1442475600002</v>
      </c>
      <c r="I84" s="39">
        <f>+'FY24'!I84*(1+MYP!$M$10)</f>
        <v>2721.1442475600002</v>
      </c>
      <c r="J84" s="39">
        <f>+'FY24'!J84*(1+MYP!$M$10)</f>
        <v>2721.1442475600002</v>
      </c>
      <c r="K84" s="39">
        <f>+'FY24'!K84*(1+MYP!$M$10)</f>
        <v>2721.1442475600002</v>
      </c>
      <c r="L84" s="39">
        <f>+'FY24'!L84*(1+MYP!$M$10)</f>
        <v>2721.1442475600002</v>
      </c>
      <c r="M84" s="39">
        <f>+'FY24'!M84*(1+MYP!$M$10)</f>
        <v>2721.1442475600002</v>
      </c>
      <c r="N84" s="39">
        <f>+'FY24'!N84*(1+MYP!$M$10)</f>
        <v>2721.1442475600002</v>
      </c>
      <c r="O84" s="39">
        <f>+'FY24'!O84*(1+MYP!$M$10)</f>
        <v>2721.1442475600002</v>
      </c>
      <c r="P84" s="39">
        <f>+'FY24'!P84*(1+MYP!$M$10)</f>
        <v>2721.1442475600002</v>
      </c>
      <c r="Q84" s="100"/>
      <c r="R84" s="41"/>
      <c r="S84" s="59">
        <f t="shared" si="27"/>
        <v>32653.730970720007</v>
      </c>
      <c r="T84" s="41"/>
      <c r="U84" s="39">
        <f>'FY24'!S84</f>
        <v>32013.461735999994</v>
      </c>
      <c r="V84" s="39">
        <f t="shared" si="28"/>
        <v>-640.26923472001363</v>
      </c>
      <c r="W84" s="39"/>
    </row>
    <row r="85" spans="3:23" s="37" customFormat="1" ht="12" x14ac:dyDescent="0.2">
      <c r="C85" s="199">
        <v>6523</v>
      </c>
      <c r="D85" s="37" t="s">
        <v>26</v>
      </c>
      <c r="E85" s="39">
        <f>+'FY24'!E85*(1+MYP!$M$10)</f>
        <v>1298.5577812799997</v>
      </c>
      <c r="F85" s="39">
        <f>+'FY24'!F85*(1+MYP!$M$10)</f>
        <v>1298.5577812799997</v>
      </c>
      <c r="G85" s="39">
        <f>+'FY24'!G85*(1+MYP!$M$10)</f>
        <v>1298.5577812799997</v>
      </c>
      <c r="H85" s="39">
        <f>+'FY24'!H85*(1+MYP!$M$10)</f>
        <v>1298.5577812799997</v>
      </c>
      <c r="I85" s="39">
        <f>+'FY24'!I85*(1+MYP!$M$10)</f>
        <v>1298.5577812799997</v>
      </c>
      <c r="J85" s="39">
        <f>+'FY24'!J85*(1+MYP!$M$10)</f>
        <v>1298.5577812799997</v>
      </c>
      <c r="K85" s="39">
        <f>+'FY24'!K85*(1+MYP!$M$10)</f>
        <v>1298.5577812799997</v>
      </c>
      <c r="L85" s="39">
        <f>+'FY24'!L85*(1+MYP!$M$10)</f>
        <v>1298.5577812799997</v>
      </c>
      <c r="M85" s="39">
        <f>+'FY24'!M85*(1+MYP!$M$10)</f>
        <v>1298.5577812799997</v>
      </c>
      <c r="N85" s="39">
        <f>+'FY24'!N85*(1+MYP!$M$10)</f>
        <v>1298.5577812799997</v>
      </c>
      <c r="O85" s="39">
        <f>+'FY24'!O85*(1+MYP!$M$10)</f>
        <v>1298.5577812799997</v>
      </c>
      <c r="P85" s="39">
        <f>+'FY24'!P85*(1+MYP!$M$10)</f>
        <v>1298.5577812799997</v>
      </c>
      <c r="Q85" s="100"/>
      <c r="R85" s="41"/>
      <c r="S85" s="59">
        <f t="shared" si="27"/>
        <v>15582.693375360001</v>
      </c>
      <c r="T85" s="41"/>
      <c r="U85" s="39">
        <f>'FY24'!S85</f>
        <v>15277.150367999993</v>
      </c>
      <c r="V85" s="39">
        <f t="shared" si="28"/>
        <v>-305.54300736000732</v>
      </c>
      <c r="W85" s="39"/>
    </row>
    <row r="86" spans="3:23" s="37" customFormat="1" ht="12" x14ac:dyDescent="0.2">
      <c r="C86" s="199">
        <v>6531</v>
      </c>
      <c r="D86" s="37" t="s">
        <v>27</v>
      </c>
      <c r="E86" s="39">
        <f>+'FY24'!E86*(1+MYP!$M$10)</f>
        <v>148.29320592000002</v>
      </c>
      <c r="F86" s="39">
        <f>+'FY24'!F86*(1+MYP!$M$10)</f>
        <v>148.29320592000002</v>
      </c>
      <c r="G86" s="39">
        <f>+'FY24'!G86*(1+MYP!$M$10)</f>
        <v>148.29320592000002</v>
      </c>
      <c r="H86" s="39">
        <f>+'FY24'!H86*(1+MYP!$M$10)</f>
        <v>148.29320592000002</v>
      </c>
      <c r="I86" s="39">
        <f>+'FY24'!I86*(1+MYP!$M$10)</f>
        <v>148.29320592000002</v>
      </c>
      <c r="J86" s="39">
        <f>+'FY24'!J86*(1+MYP!$M$10)</f>
        <v>148.29320592000002</v>
      </c>
      <c r="K86" s="39">
        <f>+'FY24'!K86*(1+MYP!$M$10)</f>
        <v>148.29320592000002</v>
      </c>
      <c r="L86" s="39">
        <f>+'FY24'!L86*(1+MYP!$M$10)</f>
        <v>148.29320592000002</v>
      </c>
      <c r="M86" s="39">
        <f>+'FY24'!M86*(1+MYP!$M$10)</f>
        <v>148.29320592000002</v>
      </c>
      <c r="N86" s="39">
        <f>+'FY24'!N86*(1+MYP!$M$10)</f>
        <v>148.29320592000002</v>
      </c>
      <c r="O86" s="39">
        <f>+'FY24'!O86*(1+MYP!$M$10)</f>
        <v>148.29320592000002</v>
      </c>
      <c r="P86" s="39">
        <f>+'FY24'!P86*(1+MYP!$M$10)</f>
        <v>4348.1299867199996</v>
      </c>
      <c r="Q86" s="100"/>
      <c r="R86" s="41"/>
      <c r="S86" s="59">
        <f t="shared" si="27"/>
        <v>5979.3552518399993</v>
      </c>
      <c r="T86" s="41"/>
      <c r="U86" s="39">
        <f>'FY24'!S86</f>
        <v>5862.1129920000003</v>
      </c>
      <c r="V86" s="39">
        <f t="shared" si="28"/>
        <v>-117.24225983999895</v>
      </c>
      <c r="W86" s="39"/>
    </row>
    <row r="87" spans="3:23" s="37" customFormat="1" ht="12" x14ac:dyDescent="0.2">
      <c r="C87" s="199">
        <v>6534</v>
      </c>
      <c r="D87" s="37" t="s">
        <v>28</v>
      </c>
      <c r="E87" s="39">
        <f>+'FY24'!E87*(1+MYP!$M$10)</f>
        <v>292.25668319999994</v>
      </c>
      <c r="F87" s="39">
        <f>+'FY24'!F87*(1+MYP!$M$10)</f>
        <v>292.25668319999994</v>
      </c>
      <c r="G87" s="39">
        <f>+'FY24'!G87*(1+MYP!$M$10)</f>
        <v>292.25668319999994</v>
      </c>
      <c r="H87" s="39">
        <f>+'FY24'!H87*(1+MYP!$M$10)</f>
        <v>292.25668319999994</v>
      </c>
      <c r="I87" s="39">
        <f>+'FY24'!I87*(1+MYP!$M$10)</f>
        <v>292.25668319999994</v>
      </c>
      <c r="J87" s="39">
        <f>+'FY24'!J87*(1+MYP!$M$10)</f>
        <v>292.25668319999994</v>
      </c>
      <c r="K87" s="39">
        <f>+'FY24'!K87*(1+MYP!$M$10)</f>
        <v>292.25668319999994</v>
      </c>
      <c r="L87" s="39">
        <f>+'FY24'!L87*(1+MYP!$M$10)</f>
        <v>292.25668319999994</v>
      </c>
      <c r="M87" s="39">
        <f>+'FY24'!M87*(1+MYP!$M$10)</f>
        <v>292.25668319999994</v>
      </c>
      <c r="N87" s="39">
        <f>+'FY24'!N87*(1+MYP!$M$10)</f>
        <v>292.25668319999994</v>
      </c>
      <c r="O87" s="39">
        <f>+'FY24'!O87*(1+MYP!$M$10)</f>
        <v>292.25668319999994</v>
      </c>
      <c r="P87" s="39">
        <f>+'FY24'!P87*(1+MYP!$M$10)</f>
        <v>292.25668319999994</v>
      </c>
      <c r="Q87" s="100"/>
      <c r="R87" s="41"/>
      <c r="S87" s="59">
        <f t="shared" si="27"/>
        <v>3507.0801983999986</v>
      </c>
      <c r="T87" s="41"/>
      <c r="U87" s="39">
        <f>'FY24'!S87</f>
        <v>3438.3139199999991</v>
      </c>
      <c r="V87" s="39">
        <f t="shared" si="28"/>
        <v>-68.766278399999464</v>
      </c>
      <c r="W87" s="39"/>
    </row>
    <row r="88" spans="3:23" s="37" customFormat="1" ht="12" x14ac:dyDescent="0.2">
      <c r="C88" s="199">
        <v>6535</v>
      </c>
      <c r="D88" s="37" t="s">
        <v>235</v>
      </c>
      <c r="E88" s="39">
        <f>+'FY24'!E88*(1+MYP!$M$10)</f>
        <v>4778.2668784607995</v>
      </c>
      <c r="F88" s="39">
        <f>+'FY24'!F88*(1+MYP!$M$10)</f>
        <v>4778.2668784607995</v>
      </c>
      <c r="G88" s="39">
        <f>+'FY24'!G88*(1+MYP!$M$10)</f>
        <v>4778.2668784607995</v>
      </c>
      <c r="H88" s="39">
        <f>+'FY24'!H88*(1+MYP!$M$10)</f>
        <v>4778.2668784607995</v>
      </c>
      <c r="I88" s="39">
        <f>+'FY24'!I88*(1+MYP!$M$10)</f>
        <v>4778.2668784607995</v>
      </c>
      <c r="J88" s="39">
        <f>+'FY24'!J88*(1+MYP!$M$10)</f>
        <v>4778.2668784607995</v>
      </c>
      <c r="K88" s="39">
        <f>+'FY24'!K88*(1+MYP!$M$10)</f>
        <v>4778.2668784607995</v>
      </c>
      <c r="L88" s="39">
        <f>+'FY24'!L88*(1+MYP!$M$10)</f>
        <v>4778.2668784607995</v>
      </c>
      <c r="M88" s="39">
        <f>+'FY24'!M88*(1+MYP!$M$10)</f>
        <v>4778.2668784607995</v>
      </c>
      <c r="N88" s="39">
        <f>+'FY24'!N88*(1+MYP!$M$10)</f>
        <v>4778.2668784607995</v>
      </c>
      <c r="O88" s="39">
        <f>+'FY24'!O88*(1+MYP!$M$10)</f>
        <v>4778.2668784607995</v>
      </c>
      <c r="P88" s="39">
        <f>+'FY24'!P88*(1+MYP!$M$10)</f>
        <v>4778.2668784607995</v>
      </c>
      <c r="Q88" s="100"/>
      <c r="R88" s="41"/>
      <c r="S88" s="59">
        <f t="shared" si="27"/>
        <v>57339.202541529579</v>
      </c>
      <c r="T88" s="41"/>
      <c r="U88" s="39">
        <f>'FY24'!S88</f>
        <v>56214.904452480005</v>
      </c>
      <c r="V88" s="39">
        <f t="shared" si="28"/>
        <v>-1124.2980890495746</v>
      </c>
      <c r="W88" s="39"/>
    </row>
    <row r="89" spans="3:23" s="37" customFormat="1" ht="12" x14ac:dyDescent="0.2">
      <c r="C89" s="199">
        <v>6540</v>
      </c>
      <c r="D89" s="37" t="s">
        <v>30</v>
      </c>
      <c r="E89" s="39">
        <f>+'FY24'!E89*(1+MYP!$M$10)</f>
        <v>865.94572800000003</v>
      </c>
      <c r="F89" s="39">
        <f>+'FY24'!F89*(1+MYP!$M$10)</f>
        <v>541.21608000000003</v>
      </c>
      <c r="G89" s="39">
        <f>+'FY24'!G89*(1+MYP!$M$10)</f>
        <v>2336.6571281135998</v>
      </c>
      <c r="H89" s="39">
        <f>+'FY24'!H89*(1+MYP!$M$10)</f>
        <v>1353.0401999999999</v>
      </c>
      <c r="I89" s="39">
        <f>+'FY24'!I89*(1+MYP!$M$10)</f>
        <v>14504.590944000001</v>
      </c>
      <c r="J89" s="39">
        <f>+'FY24'!J89*(1+MYP!$M$10)</f>
        <v>10878.443208000001</v>
      </c>
      <c r="K89" s="39">
        <f>+'FY24'!K89*(1+MYP!$M$10)</f>
        <v>865.94572800000003</v>
      </c>
      <c r="L89" s="39">
        <f>+'FY24'!L89*(1+MYP!$M$10)</f>
        <v>13205.672352000001</v>
      </c>
      <c r="M89" s="39">
        <f>+'FY24'!M89*(1+MYP!$M$10)</f>
        <v>2706.0803999999998</v>
      </c>
      <c r="N89" s="39">
        <f>+'FY24'!N89*(1+MYP!$M$10)</f>
        <v>15316.415063999999</v>
      </c>
      <c r="O89" s="39">
        <f>+'FY24'!O89*(1+MYP!$M$10)</f>
        <v>1515.4050239999999</v>
      </c>
      <c r="P89" s="39">
        <f>+'FY24'!P89*(1+MYP!$M$10)</f>
        <v>1353.0401999999999</v>
      </c>
      <c r="Q89" s="100"/>
      <c r="R89" s="41"/>
      <c r="S89" s="59">
        <f t="shared" si="27"/>
        <v>65442.452056113601</v>
      </c>
      <c r="T89" s="41"/>
      <c r="U89" s="39">
        <f>'FY24'!S89</f>
        <v>64159.266721679996</v>
      </c>
      <c r="V89" s="39">
        <f t="shared" si="28"/>
        <v>-1283.185334433605</v>
      </c>
      <c r="W89" s="39"/>
    </row>
    <row r="90" spans="3:23" s="37" customFormat="1" ht="12" x14ac:dyDescent="0.2">
      <c r="C90" s="199">
        <v>6550</v>
      </c>
      <c r="D90" s="37" t="s">
        <v>31</v>
      </c>
      <c r="E90" s="39">
        <f>+'FY24'!E90*(1+MYP!$M$10)</f>
        <v>0</v>
      </c>
      <c r="F90" s="39">
        <f>+'FY24'!F90*(1+MYP!$M$10)</f>
        <v>0</v>
      </c>
      <c r="G90" s="39">
        <f>+'FY24'!G90*(1+MYP!$M$10)</f>
        <v>672.96972251520003</v>
      </c>
      <c r="H90" s="39">
        <f>+'FY24'!H90*(1+MYP!$M$10)</f>
        <v>0</v>
      </c>
      <c r="I90" s="39">
        <f>+'FY24'!I90*(1+MYP!$M$10)</f>
        <v>0</v>
      </c>
      <c r="J90" s="39">
        <f>+'FY24'!J90*(1+MYP!$M$10)</f>
        <v>0</v>
      </c>
      <c r="K90" s="39">
        <f>+'FY24'!K90*(1+MYP!$M$10)</f>
        <v>0</v>
      </c>
      <c r="L90" s="39">
        <f>+'FY24'!L90*(1+MYP!$M$10)</f>
        <v>0</v>
      </c>
      <c r="M90" s="39">
        <f>+'FY24'!M90*(1+MYP!$M$10)</f>
        <v>0</v>
      </c>
      <c r="N90" s="39">
        <f>+'FY24'!N90*(1+MYP!$M$10)</f>
        <v>0</v>
      </c>
      <c r="O90" s="39">
        <f>+'FY24'!O90*(1+MYP!$M$10)</f>
        <v>0</v>
      </c>
      <c r="P90" s="39">
        <f>+'FY24'!P90*(1+MYP!$M$10)</f>
        <v>0</v>
      </c>
      <c r="Q90" s="100"/>
      <c r="R90" s="41"/>
      <c r="S90" s="59">
        <f t="shared" si="27"/>
        <v>672.96972251520003</v>
      </c>
      <c r="T90" s="41"/>
      <c r="U90" s="39">
        <f>'FY24'!S90</f>
        <v>659.77423776000001</v>
      </c>
      <c r="V90" s="39">
        <f t="shared" si="28"/>
        <v>-13.195484755200027</v>
      </c>
      <c r="W90" s="39"/>
    </row>
    <row r="91" spans="3:23" s="37" customFormat="1" ht="12" x14ac:dyDescent="0.2">
      <c r="C91" s="206">
        <v>6568</v>
      </c>
      <c r="D91" s="37" t="s">
        <v>186</v>
      </c>
      <c r="E91" s="39">
        <f>+'FY24'!E91*(1+MYP!$M$10)</f>
        <v>0</v>
      </c>
      <c r="F91" s="39">
        <f>+'FY24'!F91*(1+MYP!$M$10)</f>
        <v>0</v>
      </c>
      <c r="G91" s="39">
        <f>+'FY24'!G91*(1+MYP!$M$10)</f>
        <v>0</v>
      </c>
      <c r="H91" s="39">
        <f>+'FY24'!H91*(1+MYP!$M$10)</f>
        <v>0</v>
      </c>
      <c r="I91" s="39">
        <f>+'FY24'!I91*(1+MYP!$M$10)</f>
        <v>0</v>
      </c>
      <c r="J91" s="39">
        <f>+'FY24'!J91*(1+MYP!$M$10)</f>
        <v>0</v>
      </c>
      <c r="K91" s="39">
        <f>+'FY24'!K91*(1+MYP!$M$10)</f>
        <v>0</v>
      </c>
      <c r="L91" s="39">
        <f>+'FY24'!L91*(1+MYP!$M$10)</f>
        <v>0</v>
      </c>
      <c r="M91" s="39">
        <f>+'FY24'!M91*(1+MYP!$M$10)</f>
        <v>0</v>
      </c>
      <c r="N91" s="39">
        <f>+'FY24'!N91*(1+MYP!$M$10)</f>
        <v>0</v>
      </c>
      <c r="O91" s="39">
        <f>+'FY24'!O91*(1+MYP!$M$10)</f>
        <v>0</v>
      </c>
      <c r="P91" s="39">
        <f>+'FY24'!P91*(1+MYP!$M$10)</f>
        <v>0</v>
      </c>
      <c r="Q91" s="100"/>
      <c r="R91" s="41"/>
      <c r="S91" s="59">
        <f t="shared" ref="S91" si="29">SUM(E91:Q91)</f>
        <v>0</v>
      </c>
      <c r="T91" s="41"/>
      <c r="U91" s="39">
        <f>'FY24'!S91</f>
        <v>0</v>
      </c>
      <c r="V91" s="39">
        <f t="shared" ref="V91" si="30">U91-S91</f>
        <v>0</v>
      </c>
      <c r="W91" s="39"/>
    </row>
    <row r="92" spans="3:23" s="37" customFormat="1" ht="12" x14ac:dyDescent="0.2">
      <c r="C92" s="199">
        <v>6569</v>
      </c>
      <c r="D92" s="37" t="s">
        <v>32</v>
      </c>
      <c r="E92" s="39">
        <f>+'FY24'!E92*(1+MYP!$M$10)</f>
        <v>0</v>
      </c>
      <c r="F92" s="39">
        <f>+'FY24'!F92*(1+MYP!$M$10)</f>
        <v>0</v>
      </c>
      <c r="G92" s="39">
        <f>+'FY24'!G92*(1+MYP!$M$10)</f>
        <v>0</v>
      </c>
      <c r="H92" s="39">
        <f>+'FY24'!H92*(1+MYP!$M$10)</f>
        <v>0</v>
      </c>
      <c r="I92" s="39">
        <f>+'FY24'!I92*(1+MYP!$M$10)</f>
        <v>0</v>
      </c>
      <c r="J92" s="39">
        <f>+'FY24'!J92*(1+MYP!$M$10)</f>
        <v>0</v>
      </c>
      <c r="K92" s="39">
        <f>+'FY24'!K92*(1+MYP!$M$10)</f>
        <v>0</v>
      </c>
      <c r="L92" s="39">
        <f>+'FY24'!L92*(1+MYP!$M$10)</f>
        <v>0</v>
      </c>
      <c r="M92" s="39">
        <f>+'FY24'!M92*(1+MYP!$M$10)</f>
        <v>0</v>
      </c>
      <c r="N92" s="39">
        <f>+'FY24'!N92*(1+MYP!$M$10)</f>
        <v>0</v>
      </c>
      <c r="O92" s="39">
        <f>+'FY24'!O92*(1+MYP!$M$10)</f>
        <v>0</v>
      </c>
      <c r="P92" s="39">
        <f>+'FY24'!P92*(1+MYP!$M$10)</f>
        <v>0</v>
      </c>
      <c r="Q92" s="100"/>
      <c r="R92" s="41"/>
      <c r="S92" s="59">
        <f t="shared" si="27"/>
        <v>0</v>
      </c>
      <c r="T92" s="41"/>
      <c r="U92" s="39">
        <f>'FY24'!S92</f>
        <v>0</v>
      </c>
      <c r="V92" s="39">
        <f t="shared" si="28"/>
        <v>0</v>
      </c>
      <c r="W92" s="39"/>
    </row>
    <row r="93" spans="3:23" s="37" customFormat="1" ht="12" x14ac:dyDescent="0.2">
      <c r="C93" s="199">
        <v>6580</v>
      </c>
      <c r="D93" s="37" t="s">
        <v>33</v>
      </c>
      <c r="E93" s="39">
        <f>+'FY24'!E93*(1+MYP!$M$10)</f>
        <v>1298.9185920000002</v>
      </c>
      <c r="F93" s="39">
        <f>+'FY24'!F93*(1+MYP!$M$10)</f>
        <v>2164.8643200000001</v>
      </c>
      <c r="G93" s="39">
        <f>+'FY24'!G93*(1+MYP!$M$10)</f>
        <v>1298.9185920000002</v>
      </c>
      <c r="H93" s="39">
        <f>+'FY24'!H93*(1+MYP!$M$10)</f>
        <v>1298.9185920000002</v>
      </c>
      <c r="I93" s="39">
        <f>+'FY24'!I93*(1+MYP!$M$10)</f>
        <v>6169.8633119999995</v>
      </c>
      <c r="J93" s="39">
        <f>+'FY24'!J93*(1+MYP!$M$10)</f>
        <v>2007.9116568000004</v>
      </c>
      <c r="K93" s="39">
        <f>+'FY24'!K93*(1+MYP!$M$10)</f>
        <v>432.97286400000002</v>
      </c>
      <c r="L93" s="39">
        <f>+'FY24'!L93*(1+MYP!$M$10)</f>
        <v>1298.9185920000002</v>
      </c>
      <c r="M93" s="39">
        <f>+'FY24'!M93*(1+MYP!$M$10)</f>
        <v>2164.8643200000001</v>
      </c>
      <c r="N93" s="39">
        <f>+'FY24'!N93*(1+MYP!$M$10)</f>
        <v>2164.8643200000001</v>
      </c>
      <c r="O93" s="39">
        <f>+'FY24'!O93*(1+MYP!$M$10)</f>
        <v>432.97286400000002</v>
      </c>
      <c r="P93" s="39">
        <f>+'FY24'!P93*(1+MYP!$M$10)</f>
        <v>432.97286400000002</v>
      </c>
      <c r="Q93" s="100"/>
      <c r="R93" s="41"/>
      <c r="S93" s="59">
        <f t="shared" si="27"/>
        <v>21166.9608888</v>
      </c>
      <c r="T93" s="41"/>
      <c r="U93" s="39">
        <f>'FY24'!S93</f>
        <v>20751.922439999998</v>
      </c>
      <c r="V93" s="39">
        <f t="shared" si="28"/>
        <v>-415.03844880000179</v>
      </c>
      <c r="W93" s="39"/>
    </row>
    <row r="94" spans="3:23" s="37" customFormat="1" ht="12" x14ac:dyDescent="0.2">
      <c r="C94" s="38"/>
      <c r="E94" s="50">
        <f>SUBTOTAL(9,E82:E93)</f>
        <v>11563.9438868208</v>
      </c>
      <c r="F94" s="50">
        <f t="shared" ref="F94:V94" si="31">SUBTOTAL(9,F82:F93)</f>
        <v>12105.1599668208</v>
      </c>
      <c r="G94" s="50">
        <f t="shared" si="31"/>
        <v>13707.625009449599</v>
      </c>
      <c r="H94" s="50">
        <f t="shared" si="31"/>
        <v>12051.038358820799</v>
      </c>
      <c r="I94" s="50">
        <f t="shared" si="31"/>
        <v>30073.533822820798</v>
      </c>
      <c r="J94" s="50">
        <f t="shared" si="31"/>
        <v>22285.434431620797</v>
      </c>
      <c r="K94" s="50">
        <f t="shared" si="31"/>
        <v>10697.998158820799</v>
      </c>
      <c r="L94" s="50">
        <f t="shared" si="31"/>
        <v>23903.670510820804</v>
      </c>
      <c r="M94" s="50">
        <f t="shared" si="31"/>
        <v>14270.024286820801</v>
      </c>
      <c r="N94" s="50">
        <f t="shared" si="31"/>
        <v>26880.358950820799</v>
      </c>
      <c r="O94" s="50">
        <f t="shared" si="31"/>
        <v>11347.457454820798</v>
      </c>
      <c r="P94" s="50">
        <f t="shared" si="31"/>
        <v>15384.929411620797</v>
      </c>
      <c r="Q94" s="99"/>
      <c r="R94" s="41"/>
      <c r="S94" s="61">
        <f t="shared" si="31"/>
        <v>204271.17425007842</v>
      </c>
      <c r="T94" s="41"/>
      <c r="U94" s="50">
        <f t="shared" si="31"/>
        <v>200265.85710791999</v>
      </c>
      <c r="V94" s="50">
        <f t="shared" si="31"/>
        <v>-4005.3171421583997</v>
      </c>
      <c r="W94" s="39"/>
    </row>
    <row r="95" spans="3:23" s="37" customFormat="1" ht="12" x14ac:dyDescent="0.2">
      <c r="C95" s="49" t="s">
        <v>102</v>
      </c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100"/>
      <c r="R95" s="41"/>
      <c r="S95" s="59"/>
      <c r="T95" s="41"/>
      <c r="U95" s="39"/>
      <c r="V95" s="39"/>
      <c r="W95" s="39"/>
    </row>
    <row r="96" spans="3:23" s="37" customFormat="1" ht="12" x14ac:dyDescent="0.2">
      <c r="C96" s="199">
        <v>6610</v>
      </c>
      <c r="D96" s="37" t="s">
        <v>34</v>
      </c>
      <c r="E96" s="39">
        <f>+'FY24'!E96*(1+MYP!$M$10)</f>
        <v>1028.3105519999999</v>
      </c>
      <c r="F96" s="39">
        <f>+'FY24'!F96*(1+MYP!$M$10)</f>
        <v>1298.9185920000002</v>
      </c>
      <c r="G96" s="39">
        <f>+'FY24'!G96*(1+MYP!$M$10)</f>
        <v>1028.3105519999999</v>
      </c>
      <c r="H96" s="39">
        <f>+'FY24'!H96*(1+MYP!$M$10)</f>
        <v>1179.8510544000001</v>
      </c>
      <c r="I96" s="39">
        <f>+'FY24'!I96*(1+MYP!$M$10)</f>
        <v>1298.9185920000002</v>
      </c>
      <c r="J96" s="39">
        <f>+'FY24'!J96*(1+MYP!$M$10)</f>
        <v>1179.8510544000001</v>
      </c>
      <c r="K96" s="39">
        <f>+'FY24'!K96*(1+MYP!$M$10)</f>
        <v>1028.3105519999999</v>
      </c>
      <c r="L96" s="39">
        <f>+'FY24'!L96*(1+MYP!$M$10)</f>
        <v>1298.9185920000002</v>
      </c>
      <c r="M96" s="39">
        <f>+'FY24'!M96*(1+MYP!$M$10)</f>
        <v>1028.3105519999999</v>
      </c>
      <c r="N96" s="39">
        <f>+'FY24'!N96*(1+MYP!$M$10)</f>
        <v>1028.3105519999999</v>
      </c>
      <c r="O96" s="39">
        <f>+'FY24'!O96*(1+MYP!$M$10)</f>
        <v>1786.0130640000002</v>
      </c>
      <c r="P96" s="39">
        <f>+'FY24'!P96*(1+MYP!$M$10)</f>
        <v>1028.3105519999999</v>
      </c>
      <c r="Q96" s="100"/>
      <c r="R96" s="41"/>
      <c r="S96" s="59">
        <f t="shared" ref="S96:S102" si="32">SUM(E96:Q96)</f>
        <v>14212.334260800002</v>
      </c>
      <c r="T96" s="41"/>
      <c r="U96" s="39">
        <f>'FY24'!S96</f>
        <v>13933.661040000003</v>
      </c>
      <c r="V96" s="39">
        <f t="shared" ref="V96:V102" si="33">U96-S96</f>
        <v>-278.6732207999994</v>
      </c>
      <c r="W96" s="39"/>
    </row>
    <row r="97" spans="3:23" s="37" customFormat="1" ht="12" x14ac:dyDescent="0.2">
      <c r="C97" s="199">
        <v>6612</v>
      </c>
      <c r="D97" s="37" t="s">
        <v>35</v>
      </c>
      <c r="E97" s="39">
        <f>+'FY24'!E97*(1+MYP!$M$10)</f>
        <v>0</v>
      </c>
      <c r="F97" s="39">
        <f>+'FY24'!F97*(1+MYP!$M$10)</f>
        <v>0</v>
      </c>
      <c r="G97" s="39">
        <f>+'FY24'!G97*(1+MYP!$M$10)</f>
        <v>0</v>
      </c>
      <c r="H97" s="39">
        <f>+'FY24'!H97*(1+MYP!$M$10)</f>
        <v>0</v>
      </c>
      <c r="I97" s="39">
        <f>+'FY24'!I97*(1+MYP!$M$10)</f>
        <v>1623.6482400000002</v>
      </c>
      <c r="J97" s="39">
        <f>+'FY24'!J97*(1+MYP!$M$10)</f>
        <v>0</v>
      </c>
      <c r="K97" s="39">
        <f>+'FY24'!K97*(1+MYP!$M$10)</f>
        <v>0</v>
      </c>
      <c r="L97" s="39">
        <f>+'FY24'!L97*(1+MYP!$M$10)</f>
        <v>0</v>
      </c>
      <c r="M97" s="39">
        <f>+'FY24'!M97*(1+MYP!$M$10)</f>
        <v>0</v>
      </c>
      <c r="N97" s="39">
        <f>+'FY24'!N97*(1+MYP!$M$10)</f>
        <v>0</v>
      </c>
      <c r="O97" s="39">
        <f>+'FY24'!O97*(1+MYP!$M$10)</f>
        <v>0</v>
      </c>
      <c r="P97" s="39">
        <f>+'FY24'!P97*(1+MYP!$M$10)</f>
        <v>0</v>
      </c>
      <c r="Q97" s="100"/>
      <c r="R97" s="41"/>
      <c r="S97" s="59">
        <f t="shared" si="32"/>
        <v>1623.6482400000002</v>
      </c>
      <c r="T97" s="41"/>
      <c r="U97" s="39">
        <f>'FY24'!S97</f>
        <v>1591.8120000000001</v>
      </c>
      <c r="V97" s="39">
        <f t="shared" si="33"/>
        <v>-31.836240000000089</v>
      </c>
      <c r="W97" s="39"/>
    </row>
    <row r="98" spans="3:23" s="37" customFormat="1" ht="12" x14ac:dyDescent="0.2">
      <c r="C98" s="199">
        <v>6622</v>
      </c>
      <c r="D98" s="37" t="s">
        <v>36</v>
      </c>
      <c r="E98" s="39">
        <f>+'FY24'!E98*(1+MYP!$M$10)</f>
        <v>0</v>
      </c>
      <c r="F98" s="39">
        <f>+'FY24'!F98*(1+MYP!$M$10)</f>
        <v>0</v>
      </c>
      <c r="G98" s="39">
        <f>+'FY24'!G98*(1+MYP!$M$10)</f>
        <v>0</v>
      </c>
      <c r="H98" s="39">
        <f>+'FY24'!H98*(1+MYP!$M$10)</f>
        <v>0</v>
      </c>
      <c r="I98" s="39">
        <f>+'FY24'!I98*(1+MYP!$M$10)</f>
        <v>0</v>
      </c>
      <c r="J98" s="39">
        <f>+'FY24'!J98*(1+MYP!$M$10)</f>
        <v>0</v>
      </c>
      <c r="K98" s="39">
        <f>+'FY24'!K98*(1+MYP!$M$10)</f>
        <v>0</v>
      </c>
      <c r="L98" s="39">
        <f>+'FY24'!L98*(1+MYP!$M$10)</f>
        <v>0</v>
      </c>
      <c r="M98" s="39">
        <f>+'FY24'!M98*(1+MYP!$M$10)</f>
        <v>0</v>
      </c>
      <c r="N98" s="39">
        <f>+'FY24'!N98*(1+MYP!$M$10)</f>
        <v>0</v>
      </c>
      <c r="O98" s="39">
        <f>+'FY24'!O98*(1+MYP!$M$10)</f>
        <v>0</v>
      </c>
      <c r="P98" s="39">
        <f>+'FY24'!P98*(1+MYP!$M$10)</f>
        <v>0</v>
      </c>
      <c r="Q98" s="100"/>
      <c r="R98" s="41"/>
      <c r="S98" s="59">
        <f t="shared" si="32"/>
        <v>0</v>
      </c>
      <c r="T98" s="41"/>
      <c r="U98" s="39">
        <f>'FY24'!S98</f>
        <v>0</v>
      </c>
      <c r="V98" s="39">
        <f t="shared" si="33"/>
        <v>0</v>
      </c>
      <c r="W98" s="39"/>
    </row>
    <row r="99" spans="3:23" s="37" customFormat="1" ht="12" x14ac:dyDescent="0.2">
      <c r="C99" s="199">
        <v>6641</v>
      </c>
      <c r="D99" s="37" t="s">
        <v>37</v>
      </c>
      <c r="E99" s="39">
        <f>+'FY24'!E99*(1+MYP!$M$10)</f>
        <v>0</v>
      </c>
      <c r="F99" s="39">
        <f>+'FY24'!F99*(1+MYP!$M$10)</f>
        <v>0</v>
      </c>
      <c r="G99" s="39">
        <f>+'FY24'!G99*(1+MYP!$M$10)</f>
        <v>0</v>
      </c>
      <c r="H99" s="39">
        <f>+'FY24'!H99*(1+MYP!$M$10)</f>
        <v>0</v>
      </c>
      <c r="I99" s="39">
        <f>+'FY24'!I99*(1+MYP!$M$10)</f>
        <v>0</v>
      </c>
      <c r="J99" s="39">
        <f>+'FY24'!J99*(1+MYP!$M$10)</f>
        <v>0</v>
      </c>
      <c r="K99" s="39">
        <f>+'FY24'!K99*(1+MYP!$M$10)</f>
        <v>0</v>
      </c>
      <c r="L99" s="39">
        <f>+'FY24'!L99*(1+MYP!$M$10)</f>
        <v>0</v>
      </c>
      <c r="M99" s="39">
        <f>+'FY24'!M99*(1+MYP!$M$10)</f>
        <v>0</v>
      </c>
      <c r="N99" s="39">
        <f>+'FY24'!N99*(1+MYP!$M$10)</f>
        <v>0</v>
      </c>
      <c r="O99" s="39">
        <f>+'FY24'!O99*(1+MYP!$M$10)</f>
        <v>0</v>
      </c>
      <c r="P99" s="39">
        <f>+'FY24'!P99*(1+MYP!$M$10)</f>
        <v>0</v>
      </c>
      <c r="Q99" s="100"/>
      <c r="R99" s="41"/>
      <c r="S99" s="59">
        <f t="shared" si="32"/>
        <v>0</v>
      </c>
      <c r="T99" s="41"/>
      <c r="U99" s="39">
        <f>'FY24'!S99</f>
        <v>0</v>
      </c>
      <c r="V99" s="39">
        <f t="shared" si="33"/>
        <v>0</v>
      </c>
      <c r="W99" s="39"/>
    </row>
    <row r="100" spans="3:23" s="37" customFormat="1" ht="12" x14ac:dyDescent="0.2">
      <c r="C100" s="199">
        <v>6642</v>
      </c>
      <c r="D100" s="37" t="s">
        <v>38</v>
      </c>
      <c r="E100" s="39">
        <f>+'FY24'!E100*(1+MYP!$M$10)</f>
        <v>0</v>
      </c>
      <c r="F100" s="39">
        <f>+'FY24'!F100*(1+MYP!$M$10)</f>
        <v>0</v>
      </c>
      <c r="G100" s="39">
        <f>+'FY24'!G100*(1+MYP!$M$10)</f>
        <v>0</v>
      </c>
      <c r="H100" s="39">
        <f>+'FY24'!H100*(1+MYP!$M$10)</f>
        <v>0</v>
      </c>
      <c r="I100" s="39">
        <f>+'FY24'!I100*(1+MYP!$M$10)</f>
        <v>0</v>
      </c>
      <c r="J100" s="39">
        <f>+'FY24'!J100*(1+MYP!$M$10)</f>
        <v>0</v>
      </c>
      <c r="K100" s="39">
        <f>+'FY24'!K100*(1+MYP!$M$10)</f>
        <v>0</v>
      </c>
      <c r="L100" s="39">
        <f>+'FY24'!L100*(1+MYP!$M$10)</f>
        <v>0</v>
      </c>
      <c r="M100" s="39">
        <f>+'FY24'!M100*(1+MYP!$M$10)</f>
        <v>0</v>
      </c>
      <c r="N100" s="39">
        <f>+'FY24'!N100*(1+MYP!$M$10)</f>
        <v>0</v>
      </c>
      <c r="O100" s="39">
        <f>+'FY24'!O100*(1+MYP!$M$10)</f>
        <v>0</v>
      </c>
      <c r="P100" s="39">
        <f>+'FY24'!P100*(1+MYP!$M$10)</f>
        <v>0</v>
      </c>
      <c r="Q100" s="100"/>
      <c r="R100" s="41"/>
      <c r="S100" s="59">
        <f t="shared" si="32"/>
        <v>0</v>
      </c>
      <c r="T100" s="41"/>
      <c r="U100" s="39">
        <f>'FY24'!S100</f>
        <v>0</v>
      </c>
      <c r="V100" s="39">
        <f t="shared" si="33"/>
        <v>0</v>
      </c>
      <c r="W100" s="39"/>
    </row>
    <row r="101" spans="3:23" s="37" customFormat="1" ht="12" x14ac:dyDescent="0.2">
      <c r="C101" s="199">
        <v>6651</v>
      </c>
      <c r="D101" s="37" t="s">
        <v>39</v>
      </c>
      <c r="E101" s="39">
        <f>+'FY24'!E101*(1+MYP!$M$10)</f>
        <v>373.43909520000005</v>
      </c>
      <c r="F101" s="39">
        <f>+'FY24'!F101*(1+MYP!$M$10)</f>
        <v>8415.9100440000002</v>
      </c>
      <c r="G101" s="39">
        <f>+'FY24'!G101*(1+MYP!$M$10)</f>
        <v>3928.1463086400004</v>
      </c>
      <c r="H101" s="39">
        <f>+'FY24'!H101*(1+MYP!$M$10)</f>
        <v>373.43909520000005</v>
      </c>
      <c r="I101" s="39">
        <f>+'FY24'!I101*(1+MYP!$M$10)</f>
        <v>3972.5260272000005</v>
      </c>
      <c r="J101" s="39">
        <f>+'FY24'!J101*(1+MYP!$M$10)</f>
        <v>373.43909520000005</v>
      </c>
      <c r="K101" s="39">
        <f>+'FY24'!K101*(1+MYP!$M$10)</f>
        <v>24316.8384744</v>
      </c>
      <c r="L101" s="39">
        <f>+'FY24'!L101*(1+MYP!$M$10)</f>
        <v>864.86329584000009</v>
      </c>
      <c r="M101" s="39">
        <f>+'FY24'!M101*(1+MYP!$M$10)</f>
        <v>373.43909520000005</v>
      </c>
      <c r="N101" s="39">
        <f>+'FY24'!N101*(1+MYP!$M$10)</f>
        <v>373.43909520000005</v>
      </c>
      <c r="O101" s="39">
        <f>+'FY24'!O101*(1+MYP!$M$10)</f>
        <v>373.43909520000005</v>
      </c>
      <c r="P101" s="39">
        <f>+'FY24'!P101*(1+MYP!$M$10)</f>
        <v>5082.0189911999996</v>
      </c>
      <c r="Q101" s="100"/>
      <c r="R101" s="41"/>
      <c r="S101" s="59">
        <f t="shared" si="32"/>
        <v>48820.937712480008</v>
      </c>
      <c r="T101" s="41"/>
      <c r="U101" s="39">
        <f>'FY24'!S101</f>
        <v>47863.664423999988</v>
      </c>
      <c r="V101" s="39">
        <f t="shared" si="33"/>
        <v>-957.27328848002071</v>
      </c>
      <c r="W101" s="39"/>
    </row>
    <row r="102" spans="3:23" s="37" customFormat="1" ht="12" x14ac:dyDescent="0.2">
      <c r="C102" s="199">
        <v>6652</v>
      </c>
      <c r="D102" s="37" t="s">
        <v>40</v>
      </c>
      <c r="E102" s="39">
        <f>+'FY24'!E102*(1+MYP!$M$10)</f>
        <v>0</v>
      </c>
      <c r="F102" s="39">
        <f>+'FY24'!F102*(1+MYP!$M$10)</f>
        <v>0</v>
      </c>
      <c r="G102" s="39">
        <f>+'FY24'!G102*(1+MYP!$M$10)</f>
        <v>0</v>
      </c>
      <c r="H102" s="39">
        <f>+'FY24'!H102*(1+MYP!$M$10)</f>
        <v>0</v>
      </c>
      <c r="I102" s="39">
        <f>+'FY24'!I102*(1+MYP!$M$10)</f>
        <v>0</v>
      </c>
      <c r="J102" s="39">
        <f>+'FY24'!J102*(1+MYP!$M$10)</f>
        <v>0</v>
      </c>
      <c r="K102" s="39">
        <f>+'FY24'!K102*(1+MYP!$M$10)</f>
        <v>0</v>
      </c>
      <c r="L102" s="39">
        <f>+'FY24'!L102*(1+MYP!$M$10)</f>
        <v>0</v>
      </c>
      <c r="M102" s="39">
        <f>+'FY24'!M102*(1+MYP!$M$10)</f>
        <v>0</v>
      </c>
      <c r="N102" s="39">
        <f>+'FY24'!N102*(1+MYP!$M$10)</f>
        <v>0</v>
      </c>
      <c r="O102" s="39">
        <f>+'FY24'!O102*(1+MYP!$M$10)</f>
        <v>0</v>
      </c>
      <c r="P102" s="39">
        <f>+'FY24'!P102*(1+MYP!$M$10)</f>
        <v>0</v>
      </c>
      <c r="Q102" s="100"/>
      <c r="R102" s="41"/>
      <c r="S102" s="59">
        <f t="shared" si="32"/>
        <v>0</v>
      </c>
      <c r="T102" s="41"/>
      <c r="U102" s="39">
        <f>'FY24'!S102</f>
        <v>0</v>
      </c>
      <c r="V102" s="39">
        <f t="shared" si="33"/>
        <v>0</v>
      </c>
      <c r="W102" s="39"/>
    </row>
    <row r="103" spans="3:23" s="37" customFormat="1" ht="12" x14ac:dyDescent="0.2">
      <c r="C103" s="38"/>
      <c r="E103" s="50">
        <f>SUBTOTAL(9,E96:E102)</f>
        <v>1401.7496472</v>
      </c>
      <c r="F103" s="50">
        <f t="shared" ref="F103:V103" si="34">SUBTOTAL(9,F96:F102)</f>
        <v>9714.8286360000002</v>
      </c>
      <c r="G103" s="50">
        <f t="shared" si="34"/>
        <v>4956.4568606400007</v>
      </c>
      <c r="H103" s="50">
        <f t="shared" si="34"/>
        <v>1553.2901496000002</v>
      </c>
      <c r="I103" s="50">
        <f t="shared" si="34"/>
        <v>6895.0928592000009</v>
      </c>
      <c r="J103" s="50">
        <f t="shared" si="34"/>
        <v>1553.2901496000002</v>
      </c>
      <c r="K103" s="50">
        <f t="shared" si="34"/>
        <v>25345.149026399999</v>
      </c>
      <c r="L103" s="50">
        <f t="shared" si="34"/>
        <v>2163.7818878400003</v>
      </c>
      <c r="M103" s="50">
        <f t="shared" si="34"/>
        <v>1401.7496472</v>
      </c>
      <c r="N103" s="50">
        <f t="shared" si="34"/>
        <v>1401.7496472</v>
      </c>
      <c r="O103" s="50">
        <f t="shared" si="34"/>
        <v>2159.4521592000001</v>
      </c>
      <c r="P103" s="50">
        <f t="shared" si="34"/>
        <v>6110.3295431999995</v>
      </c>
      <c r="Q103" s="99"/>
      <c r="R103" s="41"/>
      <c r="S103" s="61">
        <f t="shared" si="34"/>
        <v>64656.920213280013</v>
      </c>
      <c r="T103" s="41"/>
      <c r="U103" s="50">
        <f t="shared" si="34"/>
        <v>63389.137463999992</v>
      </c>
      <c r="V103" s="50">
        <f t="shared" si="34"/>
        <v>-1267.7827492800202</v>
      </c>
      <c r="W103" s="39"/>
    </row>
    <row r="104" spans="3:23" s="37" customFormat="1" ht="12" x14ac:dyDescent="0.2">
      <c r="C104" s="49" t="s">
        <v>103</v>
      </c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100"/>
      <c r="R104" s="41"/>
      <c r="S104" s="59"/>
      <c r="T104" s="41"/>
      <c r="U104" s="39"/>
      <c r="V104" s="39"/>
      <c r="W104" s="39"/>
    </row>
    <row r="105" spans="3:23" s="37" customFormat="1" ht="12" x14ac:dyDescent="0.2">
      <c r="C105" s="199">
        <v>6734</v>
      </c>
      <c r="D105" s="37" t="s">
        <v>41</v>
      </c>
      <c r="E105" s="39">
        <f>+'FY24'!E105*(1+MYP!$M$10)</f>
        <v>0</v>
      </c>
      <c r="F105" s="39">
        <f>+'FY24'!F105*(1+MYP!$M$10)</f>
        <v>0</v>
      </c>
      <c r="G105" s="39">
        <f>+'FY24'!G105*(1+MYP!$M$10)</f>
        <v>0</v>
      </c>
      <c r="H105" s="39">
        <f>+'FY24'!H105*(1+MYP!$M$10)</f>
        <v>0</v>
      </c>
      <c r="I105" s="39">
        <f>+'FY24'!I105*(1+MYP!$M$10)</f>
        <v>0</v>
      </c>
      <c r="J105" s="39">
        <f>+'FY24'!J105*(1+MYP!$M$10)</f>
        <v>0</v>
      </c>
      <c r="K105" s="39">
        <f>+'FY24'!K105*(1+MYP!$M$10)</f>
        <v>0</v>
      </c>
      <c r="L105" s="39">
        <f>+'FY24'!L105*(1+MYP!$M$10)</f>
        <v>0</v>
      </c>
      <c r="M105" s="39">
        <f>+'FY24'!M105*(1+MYP!$M$10)</f>
        <v>0</v>
      </c>
      <c r="N105" s="39">
        <f>+'FY24'!N105*(1+MYP!$M$10)</f>
        <v>0</v>
      </c>
      <c r="O105" s="39">
        <f>+'FY24'!O105*(1+MYP!$M$10)</f>
        <v>0</v>
      </c>
      <c r="P105" s="39">
        <f>+'FY24'!P105*(1+MYP!$M$10)</f>
        <v>0</v>
      </c>
      <c r="Q105" s="100"/>
      <c r="R105" s="41"/>
      <c r="S105" s="59">
        <f t="shared" ref="S105" si="35">SUM(E105:Q105)</f>
        <v>0</v>
      </c>
      <c r="T105" s="41"/>
      <c r="U105" s="39">
        <f>'FY24'!S105</f>
        <v>0</v>
      </c>
      <c r="V105" s="39">
        <f t="shared" ref="V105" si="36">U105-S105</f>
        <v>0</v>
      </c>
      <c r="W105" s="39"/>
    </row>
    <row r="106" spans="3:23" s="37" customFormat="1" ht="12" x14ac:dyDescent="0.2">
      <c r="C106" s="38"/>
      <c r="E106" s="50">
        <f>SUBTOTAL(9,E105)</f>
        <v>0</v>
      </c>
      <c r="F106" s="50">
        <f t="shared" ref="F106:V106" si="37">SUBTOTAL(9,F105)</f>
        <v>0</v>
      </c>
      <c r="G106" s="50">
        <f t="shared" si="37"/>
        <v>0</v>
      </c>
      <c r="H106" s="50">
        <f t="shared" si="37"/>
        <v>0</v>
      </c>
      <c r="I106" s="50">
        <f t="shared" si="37"/>
        <v>0</v>
      </c>
      <c r="J106" s="50">
        <f t="shared" si="37"/>
        <v>0</v>
      </c>
      <c r="K106" s="50">
        <f t="shared" si="37"/>
        <v>0</v>
      </c>
      <c r="L106" s="50">
        <f t="shared" si="37"/>
        <v>0</v>
      </c>
      <c r="M106" s="50">
        <f t="shared" si="37"/>
        <v>0</v>
      </c>
      <c r="N106" s="50">
        <f t="shared" si="37"/>
        <v>0</v>
      </c>
      <c r="O106" s="50">
        <f t="shared" si="37"/>
        <v>0</v>
      </c>
      <c r="P106" s="50">
        <f t="shared" si="37"/>
        <v>0</v>
      </c>
      <c r="Q106" s="99"/>
      <c r="R106" s="41"/>
      <c r="S106" s="61">
        <f t="shared" si="37"/>
        <v>0</v>
      </c>
      <c r="T106" s="41"/>
      <c r="U106" s="50">
        <f t="shared" si="37"/>
        <v>0</v>
      </c>
      <c r="V106" s="50">
        <f t="shared" si="37"/>
        <v>0</v>
      </c>
      <c r="W106" s="39"/>
    </row>
    <row r="107" spans="3:23" s="37" customFormat="1" ht="12" x14ac:dyDescent="0.2">
      <c r="C107" s="49" t="s">
        <v>104</v>
      </c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100"/>
      <c r="R107" s="41"/>
      <c r="S107" s="59"/>
      <c r="T107" s="41"/>
      <c r="U107" s="39"/>
      <c r="V107" s="39"/>
      <c r="W107" s="39"/>
    </row>
    <row r="108" spans="3:23" s="37" customFormat="1" ht="12" x14ac:dyDescent="0.2">
      <c r="C108" s="199">
        <v>6810</v>
      </c>
      <c r="D108" s="37" t="s">
        <v>42</v>
      </c>
      <c r="E108" s="39">
        <f>+'FY24'!E108*(1+MYP!$M$10)</f>
        <v>1031.5578484800001</v>
      </c>
      <c r="F108" s="39">
        <f>+'FY24'!F108*(1+MYP!$M$10)</f>
        <v>2971.2762792000003</v>
      </c>
      <c r="G108" s="39">
        <f>+'FY24'!G108*(1+MYP!$M$10)</f>
        <v>9411.7476311999999</v>
      </c>
      <c r="H108" s="39">
        <f>+'FY24'!H108*(1+MYP!$M$10)</f>
        <v>319.31748720000002</v>
      </c>
      <c r="I108" s="39">
        <f>+'FY24'!I108*(1+MYP!$M$10)</f>
        <v>589.92552720000003</v>
      </c>
      <c r="J108" s="39">
        <f>+'FY24'!J108*(1+MYP!$M$10)</f>
        <v>1666.9455263999998</v>
      </c>
      <c r="K108" s="39">
        <f>+'FY24'!K108*(1+MYP!$M$10)</f>
        <v>319.31748720000002</v>
      </c>
      <c r="L108" s="39">
        <f>+'FY24'!L108*(1+MYP!$M$10)</f>
        <v>589.92552720000003</v>
      </c>
      <c r="M108" s="39">
        <f>+'FY24'!M108*(1+MYP!$M$10)</f>
        <v>319.31748720000002</v>
      </c>
      <c r="N108" s="39">
        <f>+'FY24'!N108*(1+MYP!$M$10)</f>
        <v>319.31748720000002</v>
      </c>
      <c r="O108" s="39">
        <f>+'FY24'!O108*(1+MYP!$M$10)</f>
        <v>589.92552720000003</v>
      </c>
      <c r="P108" s="39">
        <f>+'FY24'!P108*(1+MYP!$M$10)</f>
        <v>319.31748720000002</v>
      </c>
      <c r="Q108" s="100"/>
      <c r="R108" s="41"/>
      <c r="S108" s="59">
        <f t="shared" ref="S108" si="38">SUM(E108:Q108)</f>
        <v>18447.891302880005</v>
      </c>
      <c r="T108" s="41"/>
      <c r="U108" s="39">
        <f>'FY24'!S108</f>
        <v>18086.167943999993</v>
      </c>
      <c r="V108" s="39">
        <f t="shared" ref="V108" si="39">U108-S108</f>
        <v>-361.7233588800118</v>
      </c>
      <c r="W108" s="39"/>
    </row>
    <row r="109" spans="3:23" s="37" customFormat="1" ht="12" x14ac:dyDescent="0.2">
      <c r="C109" s="38"/>
      <c r="E109" s="50">
        <f>SUBTOTAL(9,E108)</f>
        <v>1031.5578484800001</v>
      </c>
      <c r="F109" s="50">
        <f t="shared" ref="F109:P109" si="40">SUBTOTAL(9,F108)</f>
        <v>2971.2762792000003</v>
      </c>
      <c r="G109" s="50">
        <f t="shared" si="40"/>
        <v>9411.7476311999999</v>
      </c>
      <c r="H109" s="50">
        <f t="shared" si="40"/>
        <v>319.31748720000002</v>
      </c>
      <c r="I109" s="50">
        <f t="shared" si="40"/>
        <v>589.92552720000003</v>
      </c>
      <c r="J109" s="50">
        <f t="shared" si="40"/>
        <v>1666.9455263999998</v>
      </c>
      <c r="K109" s="50">
        <f t="shared" si="40"/>
        <v>319.31748720000002</v>
      </c>
      <c r="L109" s="50">
        <f t="shared" si="40"/>
        <v>589.92552720000003</v>
      </c>
      <c r="M109" s="50">
        <f t="shared" si="40"/>
        <v>319.31748720000002</v>
      </c>
      <c r="N109" s="50">
        <f t="shared" si="40"/>
        <v>319.31748720000002</v>
      </c>
      <c r="O109" s="50">
        <f t="shared" si="40"/>
        <v>589.92552720000003</v>
      </c>
      <c r="P109" s="50">
        <f t="shared" si="40"/>
        <v>319.31748720000002</v>
      </c>
      <c r="Q109" s="99"/>
      <c r="R109" s="41"/>
      <c r="S109" s="61">
        <f t="shared" ref="S109" si="41">SUBTOTAL(9,S108)</f>
        <v>18447.891302880005</v>
      </c>
      <c r="T109" s="41"/>
      <c r="U109" s="50">
        <f t="shared" ref="U109:V109" si="42">SUBTOTAL(9,U108)</f>
        <v>18086.167943999993</v>
      </c>
      <c r="V109" s="50">
        <f t="shared" si="42"/>
        <v>-361.7233588800118</v>
      </c>
      <c r="W109" s="39"/>
    </row>
    <row r="110" spans="3:23" s="45" customFormat="1" ht="12" x14ac:dyDescent="0.2">
      <c r="C110" s="49" t="s">
        <v>43</v>
      </c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101"/>
      <c r="R110" s="48"/>
      <c r="S110" s="62"/>
      <c r="T110" s="48"/>
      <c r="U110" s="48"/>
      <c r="V110" s="48"/>
      <c r="W110" s="40"/>
    </row>
    <row r="111" spans="3:23" s="37" customFormat="1" ht="12" x14ac:dyDescent="0.2">
      <c r="C111" s="199">
        <v>7306</v>
      </c>
      <c r="D111" s="37" t="s">
        <v>43</v>
      </c>
      <c r="E111" s="39">
        <f>+'FY24'!E111*(1+MYP!$M$10)</f>
        <v>0</v>
      </c>
      <c r="F111" s="39">
        <f>+'FY24'!F111*(1+MYP!$M$10)</f>
        <v>0</v>
      </c>
      <c r="G111" s="39">
        <f>+'FY24'!G111*(1+MYP!$M$10)</f>
        <v>0</v>
      </c>
      <c r="H111" s="39">
        <f>+'FY24'!H111*(1+MYP!$M$10)</f>
        <v>0</v>
      </c>
      <c r="I111" s="39">
        <f>+'FY24'!I111*(1+MYP!$M$10)</f>
        <v>0</v>
      </c>
      <c r="J111" s="39">
        <f>+'FY24'!J111*(1+MYP!$M$10)</f>
        <v>0</v>
      </c>
      <c r="K111" s="39">
        <f>+'FY24'!K111*(1+MYP!$M$10)</f>
        <v>0</v>
      </c>
      <c r="L111" s="39">
        <f>+'FY24'!L111*(1+MYP!$M$10)</f>
        <v>0</v>
      </c>
      <c r="M111" s="39">
        <f>+'FY24'!M111*(1+MYP!$M$10)</f>
        <v>0</v>
      </c>
      <c r="N111" s="39">
        <f>+'FY24'!N111*(1+MYP!$M$10)</f>
        <v>0</v>
      </c>
      <c r="O111" s="39">
        <f>+'FY24'!O111*(1+MYP!$M$10)</f>
        <v>0</v>
      </c>
      <c r="P111" s="39">
        <f>+'FY24'!P111*(1+MYP!$M$10)</f>
        <v>0</v>
      </c>
      <c r="Q111" s="100"/>
      <c r="R111" s="41"/>
      <c r="S111" s="62">
        <f t="shared" ref="S111:S112" si="43">SUM(E111:Q111)</f>
        <v>0</v>
      </c>
      <c r="T111" s="41"/>
      <c r="U111" s="41">
        <f>'FY24'!S111</f>
        <v>0</v>
      </c>
      <c r="V111" s="41">
        <f t="shared" ref="V111" si="44">U111-S111</f>
        <v>0</v>
      </c>
      <c r="W111" s="39"/>
    </row>
    <row r="112" spans="3:23" s="37" customFormat="1" ht="12" x14ac:dyDescent="0.2">
      <c r="C112" s="38">
        <v>7901</v>
      </c>
      <c r="D112" s="37" t="s">
        <v>177</v>
      </c>
      <c r="E112" s="39">
        <f>+'FY24'!E112*(1+MYP!$M$10)</f>
        <v>0</v>
      </c>
      <c r="F112" s="39">
        <f>+'FY24'!F112*(1+MYP!$M$10)</f>
        <v>0</v>
      </c>
      <c r="G112" s="39">
        <f>+'FY24'!G112*(1+MYP!$M$10)</f>
        <v>0</v>
      </c>
      <c r="H112" s="39">
        <f>+'FY24'!H112*(1+MYP!$M$10)</f>
        <v>0</v>
      </c>
      <c r="I112" s="39">
        <f>+'FY24'!I112*(1+MYP!$M$10)</f>
        <v>0</v>
      </c>
      <c r="J112" s="39">
        <f>+'FY24'!J112*(1+MYP!$M$10)</f>
        <v>0</v>
      </c>
      <c r="K112" s="39">
        <f>+'FY24'!K112*(1+MYP!$M$10)</f>
        <v>0</v>
      </c>
      <c r="L112" s="39">
        <f>+'FY24'!L112*(1+MYP!$M$10)</f>
        <v>0</v>
      </c>
      <c r="M112" s="39">
        <f>+'FY24'!M112*(1+MYP!$M$10)</f>
        <v>0</v>
      </c>
      <c r="N112" s="39">
        <f>+'FY24'!N112*(1+MYP!$M$10)</f>
        <v>0</v>
      </c>
      <c r="O112" s="39">
        <f>+'FY24'!O112*(1+MYP!$M$10)</f>
        <v>0</v>
      </c>
      <c r="P112" s="39">
        <f>+'FY24'!P112*(1+MYP!$M$10)</f>
        <v>0</v>
      </c>
      <c r="Q112" s="100"/>
      <c r="R112" s="41"/>
      <c r="S112" s="62">
        <f t="shared" si="43"/>
        <v>0</v>
      </c>
      <c r="T112" s="41"/>
      <c r="U112" s="41">
        <f>'FY24'!S112</f>
        <v>0</v>
      </c>
      <c r="V112" s="41">
        <f t="shared" ref="V112" si="45">U112-S112</f>
        <v>0</v>
      </c>
      <c r="W112" s="39"/>
    </row>
    <row r="113" spans="1:23" s="37" customFormat="1" ht="12" x14ac:dyDescent="0.2">
      <c r="C113" s="38"/>
      <c r="E113" s="50">
        <f>SUBTOTAL(9,E111:E112)</f>
        <v>0</v>
      </c>
      <c r="F113" s="50">
        <f t="shared" ref="F113:P113" si="46">SUBTOTAL(9,F111:F112)</f>
        <v>0</v>
      </c>
      <c r="G113" s="50">
        <f t="shared" si="46"/>
        <v>0</v>
      </c>
      <c r="H113" s="50">
        <f t="shared" si="46"/>
        <v>0</v>
      </c>
      <c r="I113" s="50">
        <f t="shared" si="46"/>
        <v>0</v>
      </c>
      <c r="J113" s="50">
        <f t="shared" si="46"/>
        <v>0</v>
      </c>
      <c r="K113" s="50">
        <f t="shared" si="46"/>
        <v>0</v>
      </c>
      <c r="L113" s="50">
        <f t="shared" si="46"/>
        <v>0</v>
      </c>
      <c r="M113" s="50">
        <f t="shared" si="46"/>
        <v>0</v>
      </c>
      <c r="N113" s="50">
        <f t="shared" si="46"/>
        <v>0</v>
      </c>
      <c r="O113" s="50">
        <f t="shared" si="46"/>
        <v>0</v>
      </c>
      <c r="P113" s="50">
        <f t="shared" si="46"/>
        <v>0</v>
      </c>
      <c r="Q113" s="99"/>
      <c r="R113" s="41"/>
      <c r="S113" s="61">
        <f>SUBTOTAL(9,S111:S112)</f>
        <v>0</v>
      </c>
      <c r="T113" s="41"/>
      <c r="U113" s="50">
        <f>SUBTOTAL(9,U111:U112)</f>
        <v>0</v>
      </c>
      <c r="V113" s="50">
        <f>SUBTOTAL(9,V111:V112)</f>
        <v>0</v>
      </c>
      <c r="W113" s="39"/>
    </row>
    <row r="114" spans="1:23" s="37" customFormat="1" ht="9" customHeight="1" x14ac:dyDescent="0.2">
      <c r="C114" s="38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100"/>
      <c r="R114" s="41"/>
      <c r="S114" s="59"/>
      <c r="T114" s="41"/>
      <c r="U114" s="39"/>
      <c r="V114" s="39"/>
      <c r="W114" s="39"/>
    </row>
    <row r="115" spans="1:23" s="45" customFormat="1" ht="12" x14ac:dyDescent="0.2">
      <c r="A115" s="45" t="s">
        <v>107</v>
      </c>
      <c r="C115" s="46"/>
      <c r="E115" s="43">
        <f t="shared" ref="E115:P115" si="47">SUBTOTAL(9,E30:E114)</f>
        <v>163031.41590418585</v>
      </c>
      <c r="F115" s="43">
        <f t="shared" si="47"/>
        <v>220831.68042426746</v>
      </c>
      <c r="G115" s="43">
        <f t="shared" si="47"/>
        <v>214475.59223616458</v>
      </c>
      <c r="H115" s="43">
        <f t="shared" si="47"/>
        <v>243773.1448759101</v>
      </c>
      <c r="I115" s="43">
        <f t="shared" si="47"/>
        <v>202097.83435822296</v>
      </c>
      <c r="J115" s="43">
        <f t="shared" si="47"/>
        <v>182454.96501150695</v>
      </c>
      <c r="K115" s="43">
        <f t="shared" si="47"/>
        <v>221800.45396017091</v>
      </c>
      <c r="L115" s="43">
        <f t="shared" si="47"/>
        <v>197958.57048109654</v>
      </c>
      <c r="M115" s="43">
        <f t="shared" si="47"/>
        <v>175285.67043753577</v>
      </c>
      <c r="N115" s="43">
        <f t="shared" si="47"/>
        <v>218095.48351427974</v>
      </c>
      <c r="O115" s="43">
        <f t="shared" si="47"/>
        <v>174645.63696078505</v>
      </c>
      <c r="P115" s="43">
        <f t="shared" si="47"/>
        <v>220884.43816774583</v>
      </c>
      <c r="Q115" s="47"/>
      <c r="R115" s="48"/>
      <c r="S115" s="60">
        <f>SUBTOTAL(9,S30:S114)</f>
        <v>2435334.8863318707</v>
      </c>
      <c r="T115" s="48"/>
      <c r="U115" s="43">
        <f>SUBTOTAL(9,U30:U114)</f>
        <v>2387583.2218939913</v>
      </c>
      <c r="V115" s="43">
        <f>SUBTOTAL(9,V30:V114)</f>
        <v>-47751.664437880099</v>
      </c>
      <c r="W115" s="40"/>
    </row>
    <row r="116" spans="1:23" s="37" customFormat="1" ht="12" x14ac:dyDescent="0.2">
      <c r="C116" s="38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44"/>
      <c r="R116" s="41"/>
      <c r="S116" s="59"/>
      <c r="T116" s="41"/>
      <c r="U116" s="39"/>
      <c r="V116" s="39"/>
      <c r="W116" s="39"/>
    </row>
    <row r="117" spans="1:23" s="45" customFormat="1" ht="12.75" thickBot="1" x14ac:dyDescent="0.25">
      <c r="A117" s="45" t="s">
        <v>108</v>
      </c>
      <c r="C117" s="46"/>
      <c r="E117" s="181">
        <f t="shared" ref="E117:P117" si="48">E27-E115</f>
        <v>34380.393632460444</v>
      </c>
      <c r="F117" s="181">
        <f t="shared" si="48"/>
        <v>-23419.87088762116</v>
      </c>
      <c r="G117" s="181">
        <f t="shared" si="48"/>
        <v>-17063.782699518284</v>
      </c>
      <c r="H117" s="181">
        <f t="shared" si="48"/>
        <v>71517.658844489051</v>
      </c>
      <c r="I117" s="181">
        <f t="shared" si="48"/>
        <v>-4686.0248215766624</v>
      </c>
      <c r="J117" s="181">
        <f t="shared" si="48"/>
        <v>25304.61874382192</v>
      </c>
      <c r="K117" s="181">
        <f t="shared" si="48"/>
        <v>104302.49936061661</v>
      </c>
      <c r="L117" s="181">
        <f t="shared" si="48"/>
        <v>-546.76094445024501</v>
      </c>
      <c r="M117" s="181">
        <f t="shared" si="48"/>
        <v>22126.139099110529</v>
      </c>
      <c r="N117" s="181">
        <f t="shared" si="48"/>
        <v>97195.320206119417</v>
      </c>
      <c r="O117" s="181">
        <f t="shared" si="48"/>
        <v>34428.973503421032</v>
      </c>
      <c r="P117" s="181">
        <f t="shared" si="48"/>
        <v>107913.65608075733</v>
      </c>
      <c r="Q117" s="190"/>
      <c r="R117" s="191"/>
      <c r="S117" s="192">
        <f>S27-S115</f>
        <v>451452.820117631</v>
      </c>
      <c r="T117" s="191"/>
      <c r="U117" s="181">
        <f>U27-U115</f>
        <v>342738.38235628046</v>
      </c>
      <c r="V117" s="181">
        <f>V27+V115</f>
        <v>108714.43776134972</v>
      </c>
      <c r="W117" s="40"/>
    </row>
    <row r="118" spans="1:23" s="37" customFormat="1" ht="12.75" thickTop="1" x14ac:dyDescent="0.2">
      <c r="C118" s="38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44"/>
      <c r="R118" s="41"/>
      <c r="S118" s="59"/>
      <c r="T118" s="41"/>
      <c r="U118" s="39"/>
      <c r="V118" s="39"/>
      <c r="W118" s="39"/>
    </row>
    <row r="119" spans="1:23" s="37" customFormat="1" ht="12" x14ac:dyDescent="0.2">
      <c r="A119" s="53" t="s">
        <v>109</v>
      </c>
      <c r="B119" s="54"/>
      <c r="C119" s="54"/>
      <c r="D119" s="54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44"/>
      <c r="R119" s="41"/>
      <c r="S119" s="59"/>
      <c r="T119" s="41"/>
      <c r="U119" s="39"/>
      <c r="V119" s="39"/>
      <c r="W119" s="39"/>
    </row>
    <row r="120" spans="1:23" s="37" customFormat="1" ht="12" x14ac:dyDescent="0.2">
      <c r="A120" s="53"/>
      <c r="B120" s="53"/>
      <c r="C120" s="54" t="s">
        <v>110</v>
      </c>
      <c r="D120" s="54"/>
      <c r="E120" s="39">
        <f>E117</f>
        <v>34380.393632460444</v>
      </c>
      <c r="F120" s="39">
        <f t="shared" ref="F120:P120" si="49">F117</f>
        <v>-23419.87088762116</v>
      </c>
      <c r="G120" s="39">
        <f t="shared" si="49"/>
        <v>-17063.782699518284</v>
      </c>
      <c r="H120" s="39">
        <f t="shared" si="49"/>
        <v>71517.658844489051</v>
      </c>
      <c r="I120" s="39">
        <f t="shared" si="49"/>
        <v>-4686.0248215766624</v>
      </c>
      <c r="J120" s="39">
        <f t="shared" si="49"/>
        <v>25304.61874382192</v>
      </c>
      <c r="K120" s="39">
        <f t="shared" si="49"/>
        <v>104302.49936061661</v>
      </c>
      <c r="L120" s="39">
        <f t="shared" si="49"/>
        <v>-546.76094445024501</v>
      </c>
      <c r="M120" s="39">
        <f t="shared" si="49"/>
        <v>22126.139099110529</v>
      </c>
      <c r="N120" s="39">
        <f t="shared" si="49"/>
        <v>97195.320206119417</v>
      </c>
      <c r="O120" s="39">
        <f t="shared" si="49"/>
        <v>34428.973503421032</v>
      </c>
      <c r="P120" s="39">
        <f t="shared" si="49"/>
        <v>107913.65608075733</v>
      </c>
      <c r="Q120" s="44"/>
      <c r="R120" s="41"/>
      <c r="S120" s="59">
        <f>SUM(E120:Q120)</f>
        <v>451452.82011763001</v>
      </c>
      <c r="T120" s="41"/>
      <c r="U120" s="39"/>
      <c r="V120" s="39"/>
      <c r="W120" s="39"/>
    </row>
    <row r="121" spans="1:23" s="37" customFormat="1" ht="12" x14ac:dyDescent="0.2">
      <c r="A121" s="54"/>
      <c r="B121" s="54" t="s">
        <v>111</v>
      </c>
      <c r="C121" s="54" t="s">
        <v>112</v>
      </c>
      <c r="D121" s="54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44"/>
      <c r="R121" s="41"/>
      <c r="S121" s="59"/>
      <c r="T121" s="41"/>
      <c r="U121" s="39"/>
      <c r="V121" s="39"/>
      <c r="W121" s="39"/>
    </row>
    <row r="122" spans="1:23" s="37" customFormat="1" ht="12" x14ac:dyDescent="0.2">
      <c r="A122" s="54"/>
      <c r="B122" s="54" t="s">
        <v>111</v>
      </c>
      <c r="C122" s="54"/>
      <c r="D122" s="55" t="s">
        <v>113</v>
      </c>
      <c r="E122" s="39">
        <f>E112</f>
        <v>0</v>
      </c>
      <c r="F122" s="39">
        <f t="shared" ref="F122:P122" si="50">F112</f>
        <v>0</v>
      </c>
      <c r="G122" s="39">
        <f t="shared" si="50"/>
        <v>0</v>
      </c>
      <c r="H122" s="39">
        <f t="shared" si="50"/>
        <v>0</v>
      </c>
      <c r="I122" s="39">
        <f t="shared" si="50"/>
        <v>0</v>
      </c>
      <c r="J122" s="39">
        <f t="shared" si="50"/>
        <v>0</v>
      </c>
      <c r="K122" s="39">
        <f t="shared" si="50"/>
        <v>0</v>
      </c>
      <c r="L122" s="39">
        <f t="shared" si="50"/>
        <v>0</v>
      </c>
      <c r="M122" s="39">
        <f t="shared" si="50"/>
        <v>0</v>
      </c>
      <c r="N122" s="39">
        <f t="shared" si="50"/>
        <v>0</v>
      </c>
      <c r="O122" s="39">
        <f t="shared" si="50"/>
        <v>0</v>
      </c>
      <c r="P122" s="39">
        <f t="shared" si="50"/>
        <v>0</v>
      </c>
      <c r="Q122" s="44"/>
      <c r="R122" s="41"/>
      <c r="S122" s="59">
        <f t="shared" ref="S122:S136" si="51">SUM(E122:Q122)</f>
        <v>0</v>
      </c>
      <c r="T122" s="41"/>
      <c r="U122" s="39"/>
      <c r="V122" s="39"/>
      <c r="W122" s="39"/>
    </row>
    <row r="123" spans="1:23" s="37" customFormat="1" ht="12" x14ac:dyDescent="0.2">
      <c r="A123" s="54"/>
      <c r="B123" s="54" t="s">
        <v>111</v>
      </c>
      <c r="C123" s="54"/>
      <c r="D123" s="55" t="s">
        <v>114</v>
      </c>
      <c r="E123" s="39">
        <f>-'FY24'!Q123</f>
        <v>0</v>
      </c>
      <c r="F123" s="39">
        <v>0</v>
      </c>
      <c r="G123" s="39">
        <v>0</v>
      </c>
      <c r="H123" s="39">
        <v>0</v>
      </c>
      <c r="I123" s="39">
        <v>0</v>
      </c>
      <c r="J123" s="39">
        <v>0</v>
      </c>
      <c r="K123" s="39">
        <v>0</v>
      </c>
      <c r="L123" s="39">
        <v>0</v>
      </c>
      <c r="M123" s="39">
        <v>0</v>
      </c>
      <c r="N123" s="39">
        <v>0</v>
      </c>
      <c r="O123" s="39">
        <v>0</v>
      </c>
      <c r="P123" s="39">
        <v>0</v>
      </c>
      <c r="Q123" s="44"/>
      <c r="R123" s="41"/>
      <c r="S123" s="59">
        <f t="shared" si="51"/>
        <v>0</v>
      </c>
      <c r="T123" s="41"/>
      <c r="U123" s="39"/>
      <c r="V123" s="39"/>
      <c r="W123" s="39"/>
    </row>
    <row r="124" spans="1:23" s="37" customFormat="1" ht="12" x14ac:dyDescent="0.2">
      <c r="A124" s="54"/>
      <c r="B124" s="54" t="s">
        <v>111</v>
      </c>
      <c r="C124" s="54"/>
      <c r="D124" s="55" t="s">
        <v>115</v>
      </c>
      <c r="E124" s="39">
        <v>0</v>
      </c>
      <c r="F124" s="39">
        <v>0</v>
      </c>
      <c r="G124" s="39">
        <v>0</v>
      </c>
      <c r="H124" s="39">
        <v>0</v>
      </c>
      <c r="I124" s="39">
        <v>0</v>
      </c>
      <c r="J124" s="39">
        <v>0</v>
      </c>
      <c r="K124" s="39">
        <v>0</v>
      </c>
      <c r="L124" s="39">
        <v>0</v>
      </c>
      <c r="M124" s="39">
        <v>0</v>
      </c>
      <c r="N124" s="39">
        <v>0</v>
      </c>
      <c r="O124" s="39">
        <v>0</v>
      </c>
      <c r="P124" s="39">
        <v>0</v>
      </c>
      <c r="Q124" s="44"/>
      <c r="R124" s="41"/>
      <c r="S124" s="59">
        <f t="shared" si="51"/>
        <v>0</v>
      </c>
      <c r="T124" s="41"/>
      <c r="U124" s="39"/>
      <c r="V124" s="39"/>
      <c r="W124" s="39"/>
    </row>
    <row r="125" spans="1:23" s="37" customFormat="1" ht="12" x14ac:dyDescent="0.2">
      <c r="A125" s="54"/>
      <c r="B125" s="54" t="s">
        <v>111</v>
      </c>
      <c r="C125" s="54"/>
      <c r="D125" s="55" t="s">
        <v>116</v>
      </c>
      <c r="E125" s="39">
        <v>0</v>
      </c>
      <c r="F125" s="39">
        <v>0</v>
      </c>
      <c r="G125" s="39">
        <v>0</v>
      </c>
      <c r="H125" s="39">
        <v>0</v>
      </c>
      <c r="I125" s="39">
        <v>0</v>
      </c>
      <c r="J125" s="39">
        <v>0</v>
      </c>
      <c r="K125" s="39">
        <v>0</v>
      </c>
      <c r="L125" s="39">
        <v>0</v>
      </c>
      <c r="M125" s="39">
        <v>0</v>
      </c>
      <c r="N125" s="39">
        <v>0</v>
      </c>
      <c r="O125" s="39">
        <v>0</v>
      </c>
      <c r="P125" s="39">
        <v>0</v>
      </c>
      <c r="Q125" s="44"/>
      <c r="R125" s="41"/>
      <c r="S125" s="59">
        <f t="shared" si="51"/>
        <v>0</v>
      </c>
      <c r="T125" s="41"/>
      <c r="U125" s="39"/>
      <c r="V125" s="39"/>
      <c r="W125" s="39"/>
    </row>
    <row r="126" spans="1:23" s="37" customFormat="1" ht="12" x14ac:dyDescent="0.2">
      <c r="A126" s="54"/>
      <c r="B126" s="54" t="s">
        <v>111</v>
      </c>
      <c r="C126" s="54"/>
      <c r="D126" s="55" t="s">
        <v>117</v>
      </c>
      <c r="E126" s="39">
        <v>0</v>
      </c>
      <c r="F126" s="39">
        <v>0</v>
      </c>
      <c r="G126" s="39">
        <v>0</v>
      </c>
      <c r="H126" s="39">
        <v>0</v>
      </c>
      <c r="I126" s="39">
        <v>0</v>
      </c>
      <c r="J126" s="39">
        <v>0</v>
      </c>
      <c r="K126" s="39">
        <v>0</v>
      </c>
      <c r="L126" s="39">
        <v>0</v>
      </c>
      <c r="M126" s="39">
        <v>0</v>
      </c>
      <c r="N126" s="39">
        <v>0</v>
      </c>
      <c r="O126" s="39">
        <v>0</v>
      </c>
      <c r="P126" s="39">
        <v>0</v>
      </c>
      <c r="Q126" s="44"/>
      <c r="R126" s="41"/>
      <c r="S126" s="59">
        <f t="shared" si="51"/>
        <v>0</v>
      </c>
      <c r="T126" s="41"/>
      <c r="U126" s="39"/>
      <c r="V126" s="39"/>
      <c r="W126" s="39"/>
    </row>
    <row r="127" spans="1:23" s="37" customFormat="1" ht="12" x14ac:dyDescent="0.2">
      <c r="A127" s="54"/>
      <c r="B127" s="54" t="s">
        <v>111</v>
      </c>
      <c r="C127" s="54"/>
      <c r="D127" s="55" t="s">
        <v>118</v>
      </c>
      <c r="E127" s="39">
        <v>0</v>
      </c>
      <c r="F127" s="39">
        <v>0</v>
      </c>
      <c r="G127" s="39">
        <v>0</v>
      </c>
      <c r="H127" s="39">
        <v>0</v>
      </c>
      <c r="I127" s="39">
        <v>0</v>
      </c>
      <c r="J127" s="39">
        <v>0</v>
      </c>
      <c r="K127" s="39">
        <v>0</v>
      </c>
      <c r="L127" s="39">
        <v>0</v>
      </c>
      <c r="M127" s="39">
        <v>0</v>
      </c>
      <c r="N127" s="39">
        <v>0</v>
      </c>
      <c r="O127" s="39">
        <v>0</v>
      </c>
      <c r="P127" s="39">
        <v>0</v>
      </c>
      <c r="Q127" s="44"/>
      <c r="R127" s="41"/>
      <c r="S127" s="59">
        <f t="shared" si="51"/>
        <v>0</v>
      </c>
      <c r="T127" s="41"/>
      <c r="U127" s="39"/>
      <c r="V127" s="39"/>
      <c r="W127" s="39"/>
    </row>
    <row r="128" spans="1:23" s="37" customFormat="1" ht="12" x14ac:dyDescent="0.2">
      <c r="A128" s="54"/>
      <c r="B128" s="54" t="s">
        <v>111</v>
      </c>
      <c r="C128" s="54"/>
      <c r="D128" s="55" t="s">
        <v>119</v>
      </c>
      <c r="E128" s="39">
        <f>-'FY24'!Q128</f>
        <v>0</v>
      </c>
      <c r="F128" s="39">
        <v>0</v>
      </c>
      <c r="G128" s="39">
        <v>0</v>
      </c>
      <c r="H128" s="39">
        <v>0</v>
      </c>
      <c r="I128" s="39">
        <v>0</v>
      </c>
      <c r="J128" s="39">
        <v>0</v>
      </c>
      <c r="K128" s="39">
        <v>0</v>
      </c>
      <c r="L128" s="39">
        <v>0</v>
      </c>
      <c r="M128" s="39">
        <v>0</v>
      </c>
      <c r="N128" s="39">
        <v>0</v>
      </c>
      <c r="O128" s="39">
        <v>0</v>
      </c>
      <c r="P128" s="39">
        <v>0</v>
      </c>
      <c r="Q128" s="44"/>
      <c r="R128" s="41"/>
      <c r="S128" s="59">
        <f t="shared" si="51"/>
        <v>0</v>
      </c>
      <c r="T128" s="41"/>
      <c r="U128" s="39"/>
      <c r="V128" s="39"/>
      <c r="W128" s="39"/>
    </row>
    <row r="129" spans="1:23" s="37" customFormat="1" ht="12" x14ac:dyDescent="0.2">
      <c r="A129" s="54"/>
      <c r="B129" s="54" t="s">
        <v>111</v>
      </c>
      <c r="C129" s="54"/>
      <c r="D129" s="55" t="s">
        <v>120</v>
      </c>
      <c r="E129" s="39">
        <v>0</v>
      </c>
      <c r="F129" s="39">
        <v>0</v>
      </c>
      <c r="G129" s="39">
        <v>0</v>
      </c>
      <c r="H129" s="39">
        <v>0</v>
      </c>
      <c r="I129" s="39">
        <v>0</v>
      </c>
      <c r="J129" s="39">
        <v>0</v>
      </c>
      <c r="K129" s="39">
        <v>0</v>
      </c>
      <c r="L129" s="39">
        <v>0</v>
      </c>
      <c r="M129" s="39">
        <v>0</v>
      </c>
      <c r="N129" s="39">
        <v>0</v>
      </c>
      <c r="O129" s="39">
        <v>0</v>
      </c>
      <c r="P129" s="39">
        <v>0</v>
      </c>
      <c r="Q129" s="44"/>
      <c r="R129" s="41"/>
      <c r="S129" s="59">
        <f t="shared" si="51"/>
        <v>0</v>
      </c>
      <c r="T129" s="41"/>
      <c r="U129" s="39"/>
      <c r="V129" s="39"/>
      <c r="W129" s="39"/>
    </row>
    <row r="130" spans="1:23" s="37" customFormat="1" ht="12" x14ac:dyDescent="0.2">
      <c r="A130" s="54"/>
      <c r="B130" s="54" t="s">
        <v>111</v>
      </c>
      <c r="C130" s="54"/>
      <c r="D130" s="55" t="s">
        <v>121</v>
      </c>
      <c r="E130" s="39">
        <v>0</v>
      </c>
      <c r="F130" s="39">
        <v>0</v>
      </c>
      <c r="G130" s="39">
        <v>0</v>
      </c>
      <c r="H130" s="39">
        <v>0</v>
      </c>
      <c r="I130" s="39">
        <v>0</v>
      </c>
      <c r="J130" s="39">
        <v>0</v>
      </c>
      <c r="K130" s="39">
        <v>0</v>
      </c>
      <c r="L130" s="39">
        <v>0</v>
      </c>
      <c r="M130" s="39">
        <v>0</v>
      </c>
      <c r="N130" s="39">
        <v>0</v>
      </c>
      <c r="O130" s="39">
        <v>0</v>
      </c>
      <c r="P130" s="39">
        <v>0</v>
      </c>
      <c r="Q130" s="44"/>
      <c r="R130" s="41"/>
      <c r="S130" s="59">
        <f t="shared" si="51"/>
        <v>0</v>
      </c>
      <c r="T130" s="41"/>
      <c r="U130" s="39"/>
      <c r="V130" s="39"/>
      <c r="W130" s="39"/>
    </row>
    <row r="131" spans="1:23" s="37" customFormat="1" ht="12" x14ac:dyDescent="0.2">
      <c r="A131" s="54"/>
      <c r="B131" s="54" t="s">
        <v>111</v>
      </c>
      <c r="C131" s="54" t="s">
        <v>122</v>
      </c>
      <c r="D131" s="55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44"/>
      <c r="R131" s="41"/>
      <c r="S131" s="59"/>
      <c r="T131" s="41"/>
      <c r="U131" s="39"/>
      <c r="V131" s="39"/>
      <c r="W131" s="39"/>
    </row>
    <row r="132" spans="1:23" s="37" customFormat="1" ht="12" x14ac:dyDescent="0.2">
      <c r="A132" s="54"/>
      <c r="B132" s="54" t="s">
        <v>111</v>
      </c>
      <c r="C132" s="54"/>
      <c r="D132" s="55" t="s">
        <v>123</v>
      </c>
      <c r="E132" s="39">
        <v>0</v>
      </c>
      <c r="F132" s="39">
        <v>0</v>
      </c>
      <c r="G132" s="39">
        <v>0</v>
      </c>
      <c r="H132" s="39">
        <v>0</v>
      </c>
      <c r="I132" s="39">
        <v>0</v>
      </c>
      <c r="J132" s="39">
        <v>0</v>
      </c>
      <c r="K132" s="39">
        <v>0</v>
      </c>
      <c r="L132" s="39">
        <v>0</v>
      </c>
      <c r="M132" s="39">
        <v>0</v>
      </c>
      <c r="N132" s="39">
        <v>0</v>
      </c>
      <c r="O132" s="39">
        <v>0</v>
      </c>
      <c r="P132" s="39">
        <v>0</v>
      </c>
      <c r="Q132" s="44"/>
      <c r="R132" s="41"/>
      <c r="S132" s="59">
        <f t="shared" si="51"/>
        <v>0</v>
      </c>
      <c r="T132" s="41"/>
      <c r="U132" s="39"/>
      <c r="V132" s="39"/>
      <c r="W132" s="39"/>
    </row>
    <row r="133" spans="1:23" s="37" customFormat="1" ht="12" x14ac:dyDescent="0.2">
      <c r="A133" s="54"/>
      <c r="B133" s="54"/>
      <c r="C133" s="54"/>
      <c r="D133" s="54" t="s">
        <v>124</v>
      </c>
      <c r="E133" s="39">
        <v>0</v>
      </c>
      <c r="F133" s="39">
        <v>0</v>
      </c>
      <c r="G133" s="39">
        <v>0</v>
      </c>
      <c r="H133" s="39">
        <v>0</v>
      </c>
      <c r="I133" s="39">
        <v>0</v>
      </c>
      <c r="J133" s="39">
        <v>0</v>
      </c>
      <c r="K133" s="39">
        <v>0</v>
      </c>
      <c r="L133" s="39">
        <v>0</v>
      </c>
      <c r="M133" s="39">
        <v>0</v>
      </c>
      <c r="N133" s="39">
        <v>0</v>
      </c>
      <c r="O133" s="39">
        <v>0</v>
      </c>
      <c r="P133" s="39">
        <v>0</v>
      </c>
      <c r="Q133" s="44"/>
      <c r="R133" s="41"/>
      <c r="S133" s="59">
        <f t="shared" si="51"/>
        <v>0</v>
      </c>
      <c r="T133" s="41"/>
      <c r="U133" s="39"/>
      <c r="V133" s="39"/>
      <c r="W133" s="39"/>
    </row>
    <row r="134" spans="1:23" s="37" customFormat="1" ht="12" x14ac:dyDescent="0.2">
      <c r="A134" s="54"/>
      <c r="B134" s="54"/>
      <c r="C134" s="54" t="s">
        <v>125</v>
      </c>
      <c r="D134" s="54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44"/>
      <c r="R134" s="41"/>
      <c r="S134" s="59"/>
      <c r="T134" s="41"/>
      <c r="U134" s="39"/>
      <c r="V134" s="39"/>
      <c r="W134" s="39"/>
    </row>
    <row r="135" spans="1:23" s="37" customFormat="1" ht="12" x14ac:dyDescent="0.2">
      <c r="A135" s="54"/>
      <c r="B135" s="54"/>
      <c r="C135" s="54"/>
      <c r="D135" s="54" t="s">
        <v>129</v>
      </c>
      <c r="E135" s="39">
        <v>0</v>
      </c>
      <c r="F135" s="39">
        <v>0</v>
      </c>
      <c r="G135" s="39">
        <v>0</v>
      </c>
      <c r="H135" s="39">
        <v>0</v>
      </c>
      <c r="I135" s="39">
        <v>0</v>
      </c>
      <c r="J135" s="39">
        <v>0</v>
      </c>
      <c r="K135" s="39">
        <v>0</v>
      </c>
      <c r="L135" s="39">
        <v>0</v>
      </c>
      <c r="M135" s="39">
        <v>0</v>
      </c>
      <c r="N135" s="39">
        <v>0</v>
      </c>
      <c r="O135" s="39">
        <v>0</v>
      </c>
      <c r="P135" s="39">
        <v>0</v>
      </c>
      <c r="Q135" s="44"/>
      <c r="R135" s="41"/>
      <c r="S135" s="59">
        <f t="shared" si="51"/>
        <v>0</v>
      </c>
      <c r="T135" s="41"/>
      <c r="U135" s="39"/>
      <c r="V135" s="39"/>
      <c r="W135" s="39"/>
    </row>
    <row r="136" spans="1:23" s="37" customFormat="1" ht="12" x14ac:dyDescent="0.2">
      <c r="A136" s="54"/>
      <c r="B136" s="54"/>
      <c r="C136" s="54"/>
      <c r="D136" s="54" t="s">
        <v>130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  <c r="P136" s="42">
        <v>0</v>
      </c>
      <c r="Q136" s="47"/>
      <c r="R136" s="41"/>
      <c r="S136" s="59">
        <f t="shared" si="51"/>
        <v>0</v>
      </c>
      <c r="T136" s="41"/>
      <c r="U136" s="39"/>
      <c r="V136" s="39"/>
      <c r="W136" s="39"/>
    </row>
    <row r="137" spans="1:23" s="37" customFormat="1" ht="12" x14ac:dyDescent="0.2">
      <c r="A137" s="54"/>
      <c r="B137" s="54"/>
      <c r="C137" s="54"/>
      <c r="D137" s="54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41"/>
      <c r="S137" s="40"/>
      <c r="T137" s="41"/>
      <c r="U137" s="39"/>
      <c r="V137" s="39"/>
      <c r="W137" s="39"/>
    </row>
    <row r="138" spans="1:23" s="37" customFormat="1" ht="12" x14ac:dyDescent="0.2">
      <c r="A138" s="54"/>
      <c r="B138" s="54" t="s">
        <v>126</v>
      </c>
      <c r="C138" s="54"/>
      <c r="D138" s="54"/>
      <c r="E138" s="39">
        <f>SUM(E120:E136)</f>
        <v>34380.393632460444</v>
      </c>
      <c r="F138" s="39">
        <f>SUM(F120:F136)</f>
        <v>-23419.87088762116</v>
      </c>
      <c r="G138" s="39">
        <f t="shared" ref="G138:P138" si="52">SUM(G120:G136)</f>
        <v>-17063.782699518284</v>
      </c>
      <c r="H138" s="39">
        <f t="shared" si="52"/>
        <v>71517.658844489051</v>
      </c>
      <c r="I138" s="39">
        <f t="shared" si="52"/>
        <v>-4686.0248215766624</v>
      </c>
      <c r="J138" s="39">
        <f t="shared" si="52"/>
        <v>25304.61874382192</v>
      </c>
      <c r="K138" s="39">
        <f t="shared" si="52"/>
        <v>104302.49936061661</v>
      </c>
      <c r="L138" s="39">
        <f t="shared" si="52"/>
        <v>-546.76094445024501</v>
      </c>
      <c r="M138" s="39">
        <f t="shared" si="52"/>
        <v>22126.139099110529</v>
      </c>
      <c r="N138" s="39">
        <f t="shared" si="52"/>
        <v>97195.320206119417</v>
      </c>
      <c r="O138" s="39">
        <f t="shared" si="52"/>
        <v>34428.973503421032</v>
      </c>
      <c r="P138" s="39">
        <f t="shared" si="52"/>
        <v>107913.65608075733</v>
      </c>
      <c r="Q138" s="39"/>
      <c r="R138" s="41"/>
      <c r="S138" s="40"/>
      <c r="T138" s="41"/>
      <c r="U138" s="39"/>
      <c r="V138" s="39"/>
      <c r="W138" s="39"/>
    </row>
    <row r="139" spans="1:23" s="37" customFormat="1" ht="12" x14ac:dyDescent="0.2">
      <c r="A139" s="54"/>
      <c r="B139" s="54" t="s">
        <v>127</v>
      </c>
      <c r="C139" s="54"/>
      <c r="D139" s="54"/>
      <c r="E139" s="42">
        <f>'FY24'!P141</f>
        <v>679652.98245691962</v>
      </c>
      <c r="F139" s="42">
        <f>E141</f>
        <v>714033.37608938012</v>
      </c>
      <c r="G139" s="42">
        <f t="shared" ref="G139:P139" si="53">F141</f>
        <v>690613.50520175893</v>
      </c>
      <c r="H139" s="42">
        <f t="shared" si="53"/>
        <v>673549.72250224068</v>
      </c>
      <c r="I139" s="42">
        <f t="shared" si="53"/>
        <v>745067.3813467297</v>
      </c>
      <c r="J139" s="42">
        <f t="shared" si="53"/>
        <v>740381.35652515304</v>
      </c>
      <c r="K139" s="42">
        <f t="shared" si="53"/>
        <v>765685.9752689749</v>
      </c>
      <c r="L139" s="42">
        <f t="shared" si="53"/>
        <v>869988.47462959145</v>
      </c>
      <c r="M139" s="42">
        <f t="shared" si="53"/>
        <v>869441.71368514118</v>
      </c>
      <c r="N139" s="42">
        <f t="shared" si="53"/>
        <v>891567.85278425168</v>
      </c>
      <c r="O139" s="42">
        <f t="shared" si="53"/>
        <v>988763.17299037112</v>
      </c>
      <c r="P139" s="42">
        <f t="shared" si="53"/>
        <v>1023192.1464937922</v>
      </c>
      <c r="Q139" s="39"/>
      <c r="R139" s="41"/>
      <c r="S139" s="40"/>
      <c r="T139" s="41"/>
      <c r="U139" s="39"/>
      <c r="V139" s="39"/>
      <c r="W139" s="39"/>
    </row>
    <row r="140" spans="1:23" s="37" customFormat="1" ht="12" x14ac:dyDescent="0.2">
      <c r="A140" s="54"/>
      <c r="B140" s="54"/>
      <c r="C140" s="54"/>
      <c r="D140" s="54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41"/>
      <c r="S140" s="40"/>
      <c r="T140" s="41"/>
      <c r="U140" s="39"/>
      <c r="V140" s="39"/>
      <c r="W140" s="39"/>
    </row>
    <row r="141" spans="1:23" s="37" customFormat="1" ht="12.75" thickBot="1" x14ac:dyDescent="0.25">
      <c r="A141" s="53"/>
      <c r="B141" s="53" t="s">
        <v>128</v>
      </c>
      <c r="C141" s="53"/>
      <c r="D141" s="53"/>
      <c r="E141" s="194">
        <f>SUM(E138:E140)</f>
        <v>714033.37608938012</v>
      </c>
      <c r="F141" s="194">
        <f>SUM(F138:F140)</f>
        <v>690613.50520175893</v>
      </c>
      <c r="G141" s="194">
        <f t="shared" ref="G141:P141" si="54">SUM(G138:G140)</f>
        <v>673549.72250224068</v>
      </c>
      <c r="H141" s="194">
        <f t="shared" si="54"/>
        <v>745067.3813467297</v>
      </c>
      <c r="I141" s="194">
        <f t="shared" si="54"/>
        <v>740381.35652515304</v>
      </c>
      <c r="J141" s="194">
        <f t="shared" si="54"/>
        <v>765685.9752689749</v>
      </c>
      <c r="K141" s="194">
        <f t="shared" si="54"/>
        <v>869988.47462959145</v>
      </c>
      <c r="L141" s="194">
        <f t="shared" si="54"/>
        <v>869441.71368514118</v>
      </c>
      <c r="M141" s="194">
        <f t="shared" si="54"/>
        <v>891567.85278425168</v>
      </c>
      <c r="N141" s="194">
        <f t="shared" si="54"/>
        <v>988763.17299037112</v>
      </c>
      <c r="O141" s="194">
        <f t="shared" si="54"/>
        <v>1023192.1464937922</v>
      </c>
      <c r="P141" s="194">
        <f t="shared" si="54"/>
        <v>1131105.8025745496</v>
      </c>
      <c r="Q141" s="39"/>
      <c r="R141" s="41"/>
      <c r="S141" s="40"/>
      <c r="T141" s="41"/>
      <c r="U141" s="39"/>
      <c r="V141" s="39"/>
      <c r="W141" s="39"/>
    </row>
    <row r="142" spans="1:23" s="37" customFormat="1" ht="12.75" thickTop="1" x14ac:dyDescent="0.2">
      <c r="C142" s="38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41"/>
      <c r="S142" s="40"/>
      <c r="T142" s="41"/>
      <c r="U142" s="39"/>
      <c r="V142" s="39"/>
      <c r="W142" s="39"/>
    </row>
    <row r="143" spans="1:23" s="37" customFormat="1" ht="12" x14ac:dyDescent="0.2">
      <c r="C143" s="38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41"/>
      <c r="S143" s="40"/>
      <c r="T143" s="41"/>
      <c r="U143" s="39"/>
      <c r="V143" s="39"/>
      <c r="W143" s="39"/>
    </row>
    <row r="144" spans="1:23" s="37" customFormat="1" ht="12" x14ac:dyDescent="0.2">
      <c r="C144" s="38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41"/>
      <c r="S144" s="40"/>
      <c r="T144" s="41"/>
      <c r="U144" s="39"/>
      <c r="V144" s="39"/>
      <c r="W144" s="39"/>
    </row>
    <row r="145" spans="3:23" s="37" customFormat="1" ht="12" x14ac:dyDescent="0.2">
      <c r="C145" s="38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41"/>
      <c r="S145" s="40"/>
      <c r="T145" s="41"/>
      <c r="U145" s="39"/>
      <c r="V145" s="39"/>
      <c r="W145" s="39"/>
    </row>
    <row r="146" spans="3:23" s="37" customFormat="1" ht="12" x14ac:dyDescent="0.2">
      <c r="C146" s="38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41"/>
      <c r="S146" s="40"/>
      <c r="T146" s="41"/>
      <c r="U146" s="39"/>
      <c r="V146" s="39"/>
      <c r="W146" s="39"/>
    </row>
    <row r="147" spans="3:23" s="37" customFormat="1" ht="12" x14ac:dyDescent="0.2">
      <c r="C147" s="38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41"/>
      <c r="S147" s="40"/>
      <c r="T147" s="41"/>
      <c r="U147" s="39"/>
      <c r="V147" s="39"/>
      <c r="W147" s="39"/>
    </row>
    <row r="148" spans="3:23" s="37" customFormat="1" ht="12" x14ac:dyDescent="0.2">
      <c r="C148" s="38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41"/>
      <c r="S148" s="40"/>
      <c r="T148" s="41"/>
      <c r="U148" s="39"/>
      <c r="V148" s="39"/>
      <c r="W148" s="39"/>
    </row>
    <row r="149" spans="3:23" s="37" customFormat="1" ht="12" x14ac:dyDescent="0.2">
      <c r="C149" s="38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41"/>
      <c r="S149" s="40"/>
      <c r="T149" s="41"/>
      <c r="U149" s="39"/>
      <c r="V149" s="39"/>
      <c r="W149" s="39"/>
    </row>
    <row r="150" spans="3:23" s="37" customFormat="1" ht="12" x14ac:dyDescent="0.2">
      <c r="C150" s="38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41"/>
      <c r="S150" s="40"/>
      <c r="T150" s="41"/>
      <c r="U150" s="39"/>
      <c r="V150" s="39"/>
      <c r="W150" s="39"/>
    </row>
    <row r="151" spans="3:23" s="37" customFormat="1" ht="12" x14ac:dyDescent="0.2">
      <c r="C151" s="38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41"/>
      <c r="S151" s="40"/>
      <c r="T151" s="41"/>
      <c r="U151" s="39"/>
      <c r="V151" s="39"/>
      <c r="W151" s="39"/>
    </row>
    <row r="152" spans="3:23" s="37" customFormat="1" ht="12" x14ac:dyDescent="0.2">
      <c r="C152" s="38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41"/>
      <c r="S152" s="40"/>
      <c r="T152" s="41"/>
      <c r="U152" s="39"/>
      <c r="V152" s="39"/>
      <c r="W152" s="39"/>
    </row>
    <row r="153" spans="3:23" s="37" customFormat="1" ht="12" x14ac:dyDescent="0.2">
      <c r="C153" s="38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41"/>
      <c r="S153" s="40"/>
      <c r="T153" s="41"/>
      <c r="U153" s="39"/>
      <c r="V153" s="39"/>
      <c r="W153" s="39"/>
    </row>
    <row r="154" spans="3:23" s="37" customFormat="1" ht="12" x14ac:dyDescent="0.2">
      <c r="C154" s="38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41"/>
      <c r="S154" s="40"/>
      <c r="T154" s="41"/>
      <c r="U154" s="39"/>
      <c r="V154" s="39"/>
      <c r="W154" s="39"/>
    </row>
    <row r="155" spans="3:23" s="37" customFormat="1" ht="12" x14ac:dyDescent="0.2">
      <c r="C155" s="38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41"/>
      <c r="S155" s="40"/>
      <c r="T155" s="41"/>
      <c r="U155" s="39"/>
      <c r="V155" s="39"/>
      <c r="W155" s="39"/>
    </row>
    <row r="156" spans="3:23" s="37" customFormat="1" ht="12" x14ac:dyDescent="0.2">
      <c r="C156" s="38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41"/>
      <c r="S156" s="40"/>
      <c r="T156" s="41"/>
      <c r="U156" s="39"/>
      <c r="V156" s="39"/>
      <c r="W156" s="39"/>
    </row>
    <row r="157" spans="3:23" s="37" customFormat="1" ht="12" x14ac:dyDescent="0.2">
      <c r="C157" s="38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41"/>
      <c r="S157" s="40"/>
      <c r="T157" s="41"/>
      <c r="U157" s="39"/>
      <c r="V157" s="39"/>
      <c r="W157" s="39"/>
    </row>
    <row r="158" spans="3:23" s="37" customFormat="1" ht="12" x14ac:dyDescent="0.2">
      <c r="C158" s="38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41"/>
      <c r="S158" s="40"/>
      <c r="T158" s="41"/>
      <c r="U158" s="39"/>
      <c r="V158" s="39"/>
      <c r="W158" s="39"/>
    </row>
    <row r="159" spans="3:23" s="37" customFormat="1" ht="12" x14ac:dyDescent="0.2">
      <c r="C159" s="38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41"/>
      <c r="S159" s="40"/>
      <c r="T159" s="41"/>
      <c r="U159" s="39"/>
      <c r="V159" s="39"/>
      <c r="W159" s="39"/>
    </row>
    <row r="160" spans="3:23" s="37" customFormat="1" ht="12" x14ac:dyDescent="0.2">
      <c r="C160" s="38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41"/>
      <c r="S160" s="40"/>
      <c r="T160" s="41"/>
      <c r="U160" s="39"/>
      <c r="V160" s="39"/>
      <c r="W160" s="39"/>
    </row>
    <row r="161" spans="3:23" s="37" customFormat="1" ht="12" x14ac:dyDescent="0.2">
      <c r="C161" s="38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41"/>
      <c r="S161" s="40"/>
      <c r="T161" s="41"/>
      <c r="U161" s="39"/>
      <c r="V161" s="39"/>
      <c r="W161" s="39"/>
    </row>
    <row r="162" spans="3:23" s="37" customFormat="1" ht="12" x14ac:dyDescent="0.2">
      <c r="C162" s="38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41"/>
      <c r="S162" s="40"/>
      <c r="T162" s="41"/>
      <c r="U162" s="39"/>
      <c r="V162" s="39"/>
      <c r="W162" s="39"/>
    </row>
    <row r="163" spans="3:23" s="37" customFormat="1" ht="12" x14ac:dyDescent="0.2">
      <c r="C163" s="38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41"/>
      <c r="S163" s="40"/>
      <c r="T163" s="41"/>
      <c r="U163" s="39"/>
      <c r="V163" s="39"/>
      <c r="W163" s="39"/>
    </row>
    <row r="164" spans="3:23" s="37" customFormat="1" ht="12" x14ac:dyDescent="0.2">
      <c r="C164" s="38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41"/>
      <c r="S164" s="40"/>
      <c r="T164" s="41"/>
      <c r="U164" s="39"/>
      <c r="V164" s="39"/>
      <c r="W164" s="39"/>
    </row>
    <row r="165" spans="3:23" s="37" customFormat="1" ht="12" x14ac:dyDescent="0.2">
      <c r="C165" s="38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41"/>
      <c r="S165" s="40"/>
      <c r="T165" s="41"/>
      <c r="U165" s="39"/>
      <c r="V165" s="39"/>
      <c r="W165" s="39"/>
    </row>
    <row r="166" spans="3:23" s="37" customFormat="1" ht="12" x14ac:dyDescent="0.2">
      <c r="C166" s="38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41"/>
      <c r="S166" s="40"/>
      <c r="T166" s="41"/>
      <c r="U166" s="39"/>
      <c r="V166" s="39"/>
      <c r="W166" s="39"/>
    </row>
    <row r="167" spans="3:23" s="37" customFormat="1" ht="12" x14ac:dyDescent="0.2">
      <c r="C167" s="38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41"/>
      <c r="S167" s="40"/>
      <c r="T167" s="41"/>
      <c r="U167" s="39"/>
      <c r="V167" s="39"/>
      <c r="W167" s="39"/>
    </row>
    <row r="168" spans="3:23" s="37" customFormat="1" ht="12" x14ac:dyDescent="0.2">
      <c r="C168" s="38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41"/>
      <c r="S168" s="40"/>
      <c r="T168" s="41"/>
      <c r="U168" s="39"/>
      <c r="V168" s="39"/>
      <c r="W168" s="39"/>
    </row>
    <row r="169" spans="3:23" s="37" customFormat="1" ht="12" x14ac:dyDescent="0.2">
      <c r="C169" s="38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41"/>
      <c r="S169" s="40"/>
      <c r="T169" s="41"/>
      <c r="U169" s="39"/>
      <c r="V169" s="39"/>
      <c r="W169" s="39"/>
    </row>
    <row r="170" spans="3:23" s="37" customFormat="1" ht="12" x14ac:dyDescent="0.2">
      <c r="C170" s="38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41"/>
      <c r="S170" s="40"/>
      <c r="T170" s="41"/>
      <c r="U170" s="39"/>
      <c r="V170" s="39"/>
      <c r="W170" s="39"/>
    </row>
    <row r="171" spans="3:23" s="37" customFormat="1" ht="12" x14ac:dyDescent="0.2">
      <c r="C171" s="38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41"/>
      <c r="S171" s="40"/>
      <c r="T171" s="41"/>
      <c r="U171" s="39"/>
      <c r="V171" s="39"/>
      <c r="W171" s="39"/>
    </row>
    <row r="172" spans="3:23" s="37" customFormat="1" ht="12" x14ac:dyDescent="0.2">
      <c r="C172" s="38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41"/>
      <c r="S172" s="40"/>
      <c r="T172" s="41"/>
      <c r="U172" s="39"/>
      <c r="V172" s="39"/>
      <c r="W172" s="39"/>
    </row>
    <row r="173" spans="3:23" s="37" customFormat="1" ht="12" x14ac:dyDescent="0.2">
      <c r="C173" s="38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41"/>
      <c r="S173" s="40"/>
      <c r="T173" s="41"/>
      <c r="U173" s="39"/>
      <c r="V173" s="39"/>
      <c r="W173" s="39"/>
    </row>
    <row r="174" spans="3:23" s="37" customFormat="1" ht="12" x14ac:dyDescent="0.2">
      <c r="C174" s="38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41"/>
      <c r="S174" s="40"/>
      <c r="T174" s="41"/>
      <c r="U174" s="39"/>
      <c r="V174" s="39"/>
      <c r="W174" s="39"/>
    </row>
    <row r="175" spans="3:23" s="37" customFormat="1" ht="12" x14ac:dyDescent="0.2">
      <c r="C175" s="38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41"/>
      <c r="S175" s="40"/>
      <c r="T175" s="41"/>
      <c r="U175" s="39"/>
      <c r="V175" s="39"/>
      <c r="W175" s="39"/>
    </row>
    <row r="176" spans="3:23" s="37" customFormat="1" ht="12" x14ac:dyDescent="0.2">
      <c r="C176" s="38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41"/>
      <c r="S176" s="40"/>
      <c r="T176" s="41"/>
      <c r="U176" s="39"/>
      <c r="V176" s="39"/>
      <c r="W176" s="39"/>
    </row>
    <row r="177" spans="3:23" s="37" customFormat="1" ht="12" x14ac:dyDescent="0.2">
      <c r="C177" s="38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41"/>
      <c r="S177" s="40"/>
      <c r="T177" s="41"/>
      <c r="U177" s="39"/>
      <c r="V177" s="39"/>
      <c r="W177" s="39"/>
    </row>
    <row r="178" spans="3:23" s="37" customFormat="1" ht="12" x14ac:dyDescent="0.2">
      <c r="C178" s="38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41"/>
      <c r="S178" s="40"/>
      <c r="T178" s="41"/>
      <c r="U178" s="39"/>
      <c r="V178" s="39"/>
      <c r="W178" s="39"/>
    </row>
    <row r="179" spans="3:23" s="37" customFormat="1" ht="12" x14ac:dyDescent="0.2">
      <c r="C179" s="38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41"/>
      <c r="S179" s="40"/>
      <c r="T179" s="41"/>
      <c r="U179" s="39"/>
      <c r="V179" s="39"/>
      <c r="W179" s="39"/>
    </row>
    <row r="180" spans="3:23" s="37" customFormat="1" ht="12" x14ac:dyDescent="0.2">
      <c r="C180" s="38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41"/>
      <c r="S180" s="40"/>
      <c r="T180" s="41"/>
      <c r="U180" s="39"/>
      <c r="V180" s="39"/>
      <c r="W180" s="39"/>
    </row>
    <row r="181" spans="3:23" s="37" customFormat="1" ht="12" x14ac:dyDescent="0.2">
      <c r="C181" s="38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41"/>
      <c r="S181" s="40"/>
      <c r="T181" s="41"/>
      <c r="U181" s="39"/>
      <c r="V181" s="39"/>
      <c r="W181" s="39"/>
    </row>
    <row r="182" spans="3:23" s="37" customFormat="1" ht="12" x14ac:dyDescent="0.2">
      <c r="C182" s="38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41"/>
      <c r="S182" s="40"/>
      <c r="T182" s="41"/>
      <c r="U182" s="39"/>
      <c r="V182" s="39"/>
      <c r="W182" s="39"/>
    </row>
    <row r="183" spans="3:23" s="37" customFormat="1" ht="12" x14ac:dyDescent="0.2">
      <c r="C183" s="38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41"/>
      <c r="S183" s="40"/>
      <c r="T183" s="41"/>
      <c r="U183" s="39"/>
      <c r="V183" s="39"/>
      <c r="W183" s="39"/>
    </row>
    <row r="184" spans="3:23" s="37" customFormat="1" ht="12" x14ac:dyDescent="0.2">
      <c r="C184" s="38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41"/>
      <c r="S184" s="40"/>
      <c r="T184" s="41"/>
      <c r="U184" s="39"/>
      <c r="V184" s="39"/>
      <c r="W184" s="39"/>
    </row>
    <row r="185" spans="3:23" s="37" customFormat="1" ht="12" x14ac:dyDescent="0.2">
      <c r="C185" s="38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41"/>
      <c r="S185" s="40"/>
      <c r="T185" s="41"/>
      <c r="U185" s="39"/>
      <c r="V185" s="39"/>
      <c r="W185" s="39"/>
    </row>
    <row r="186" spans="3:23" s="37" customFormat="1" ht="12" x14ac:dyDescent="0.2">
      <c r="C186" s="38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41"/>
      <c r="S186" s="40"/>
      <c r="T186" s="41"/>
      <c r="U186" s="39"/>
      <c r="V186" s="39"/>
      <c r="W186" s="39"/>
    </row>
    <row r="187" spans="3:23" s="37" customFormat="1" ht="12" x14ac:dyDescent="0.2">
      <c r="C187" s="38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41"/>
      <c r="S187" s="40"/>
      <c r="T187" s="41"/>
      <c r="U187" s="39"/>
      <c r="V187" s="39"/>
      <c r="W187" s="39"/>
    </row>
    <row r="188" spans="3:23" s="37" customFormat="1" ht="12" x14ac:dyDescent="0.2">
      <c r="C188" s="38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41"/>
      <c r="S188" s="40"/>
      <c r="T188" s="41"/>
      <c r="U188" s="39"/>
      <c r="V188" s="39"/>
      <c r="W188" s="39"/>
    </row>
    <row r="189" spans="3:23" s="37" customFormat="1" ht="12" x14ac:dyDescent="0.2">
      <c r="C189" s="38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41"/>
      <c r="S189" s="40"/>
      <c r="T189" s="41"/>
      <c r="U189" s="39"/>
      <c r="V189" s="39"/>
      <c r="W189" s="39"/>
    </row>
    <row r="190" spans="3:23" s="37" customFormat="1" ht="12" x14ac:dyDescent="0.2">
      <c r="C190" s="38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41"/>
      <c r="S190" s="40"/>
      <c r="T190" s="41"/>
      <c r="U190" s="39"/>
      <c r="V190" s="39"/>
      <c r="W190" s="39"/>
    </row>
    <row r="191" spans="3:23" s="37" customFormat="1" ht="12" x14ac:dyDescent="0.2">
      <c r="C191" s="38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41"/>
      <c r="S191" s="40"/>
      <c r="T191" s="41"/>
      <c r="U191" s="39"/>
      <c r="V191" s="39"/>
      <c r="W191" s="39"/>
    </row>
    <row r="192" spans="3:23" s="37" customFormat="1" ht="12" x14ac:dyDescent="0.2">
      <c r="C192" s="38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41"/>
      <c r="S192" s="40"/>
      <c r="T192" s="41"/>
      <c r="U192" s="39"/>
      <c r="V192" s="39"/>
      <c r="W192" s="39"/>
    </row>
    <row r="193" spans="3:23" s="37" customFormat="1" ht="12" x14ac:dyDescent="0.2">
      <c r="C193" s="38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41"/>
      <c r="S193" s="40"/>
      <c r="T193" s="41"/>
      <c r="U193" s="39"/>
      <c r="V193" s="39"/>
      <c r="W193" s="39"/>
    </row>
    <row r="194" spans="3:23" s="37" customFormat="1" ht="12" x14ac:dyDescent="0.2">
      <c r="C194" s="38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41"/>
      <c r="S194" s="40"/>
      <c r="T194" s="41"/>
      <c r="U194" s="39"/>
      <c r="V194" s="39"/>
      <c r="W194" s="39"/>
    </row>
    <row r="195" spans="3:23" s="37" customFormat="1" ht="12" x14ac:dyDescent="0.2">
      <c r="C195" s="38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41"/>
      <c r="S195" s="40"/>
      <c r="T195" s="41"/>
      <c r="U195" s="39"/>
      <c r="V195" s="39"/>
      <c r="W195" s="39"/>
    </row>
    <row r="196" spans="3:23" s="37" customFormat="1" ht="12" x14ac:dyDescent="0.2">
      <c r="C196" s="38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41"/>
      <c r="S196" s="40"/>
      <c r="T196" s="41"/>
      <c r="U196" s="39"/>
      <c r="V196" s="39"/>
      <c r="W196" s="39"/>
    </row>
    <row r="197" spans="3:23" s="37" customFormat="1" ht="12" x14ac:dyDescent="0.2">
      <c r="C197" s="38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41"/>
      <c r="S197" s="40"/>
      <c r="T197" s="41"/>
      <c r="U197" s="39"/>
      <c r="V197" s="39"/>
      <c r="W197" s="39"/>
    </row>
    <row r="198" spans="3:23" s="37" customFormat="1" ht="12" x14ac:dyDescent="0.2">
      <c r="C198" s="38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41"/>
      <c r="S198" s="40"/>
      <c r="T198" s="41"/>
      <c r="U198" s="39"/>
      <c r="V198" s="39"/>
      <c r="W198" s="39"/>
    </row>
    <row r="199" spans="3:23" s="37" customFormat="1" ht="12" x14ac:dyDescent="0.2">
      <c r="C199" s="38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41"/>
      <c r="S199" s="40"/>
      <c r="T199" s="41"/>
      <c r="U199" s="39"/>
      <c r="V199" s="39"/>
      <c r="W199" s="39"/>
    </row>
    <row r="200" spans="3:23" s="37" customFormat="1" ht="12" x14ac:dyDescent="0.2">
      <c r="C200" s="38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41"/>
      <c r="S200" s="40"/>
      <c r="T200" s="41"/>
      <c r="U200" s="39"/>
      <c r="V200" s="39"/>
      <c r="W200" s="39"/>
    </row>
    <row r="201" spans="3:23" s="37" customFormat="1" ht="12" x14ac:dyDescent="0.2">
      <c r="C201" s="38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41"/>
      <c r="S201" s="40"/>
      <c r="T201" s="41"/>
      <c r="U201" s="39"/>
      <c r="V201" s="39"/>
      <c r="W201" s="39"/>
    </row>
    <row r="202" spans="3:23" s="37" customFormat="1" ht="12" x14ac:dyDescent="0.2">
      <c r="C202" s="38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41"/>
      <c r="S202" s="40"/>
      <c r="T202" s="41"/>
      <c r="U202" s="39"/>
      <c r="V202" s="39"/>
      <c r="W202" s="39"/>
    </row>
    <row r="203" spans="3:23" s="37" customFormat="1" ht="12" x14ac:dyDescent="0.2">
      <c r="C203" s="38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41"/>
      <c r="S203" s="40"/>
      <c r="T203" s="41"/>
      <c r="U203" s="39"/>
      <c r="V203" s="39"/>
      <c r="W203" s="39"/>
    </row>
    <row r="204" spans="3:23" s="37" customFormat="1" ht="12" x14ac:dyDescent="0.2">
      <c r="C204" s="38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41"/>
      <c r="S204" s="40"/>
      <c r="T204" s="41"/>
      <c r="U204" s="39"/>
      <c r="V204" s="39"/>
      <c r="W204" s="39"/>
    </row>
    <row r="205" spans="3:23" s="37" customFormat="1" ht="12" x14ac:dyDescent="0.2">
      <c r="C205" s="38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41"/>
      <c r="S205" s="40"/>
      <c r="T205" s="41"/>
      <c r="U205" s="39"/>
      <c r="V205" s="39"/>
      <c r="W205" s="39"/>
    </row>
    <row r="206" spans="3:23" s="37" customFormat="1" ht="12" x14ac:dyDescent="0.2">
      <c r="C206" s="38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41"/>
      <c r="S206" s="40"/>
      <c r="T206" s="41"/>
      <c r="U206" s="39"/>
      <c r="V206" s="39"/>
      <c r="W206" s="39"/>
    </row>
    <row r="207" spans="3:23" s="37" customFormat="1" ht="12" x14ac:dyDescent="0.2">
      <c r="C207" s="38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41"/>
      <c r="S207" s="40"/>
      <c r="T207" s="41"/>
      <c r="U207" s="39"/>
      <c r="V207" s="39"/>
      <c r="W207" s="39"/>
    </row>
    <row r="208" spans="3:23" s="37" customFormat="1" ht="12" x14ac:dyDescent="0.2">
      <c r="C208" s="38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41"/>
      <c r="S208" s="40"/>
      <c r="T208" s="41"/>
      <c r="U208" s="39"/>
      <c r="V208" s="39"/>
      <c r="W208" s="39"/>
    </row>
    <row r="209" spans="3:23" s="37" customFormat="1" ht="12" x14ac:dyDescent="0.2">
      <c r="C209" s="38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41"/>
      <c r="S209" s="40"/>
      <c r="T209" s="41"/>
      <c r="U209" s="39"/>
      <c r="V209" s="39"/>
      <c r="W209" s="39"/>
    </row>
    <row r="210" spans="3:23" s="37" customFormat="1" ht="12" x14ac:dyDescent="0.2">
      <c r="C210" s="38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41"/>
      <c r="S210" s="40"/>
      <c r="T210" s="41"/>
      <c r="U210" s="39"/>
      <c r="V210" s="39"/>
      <c r="W210" s="39"/>
    </row>
    <row r="211" spans="3:23" s="37" customFormat="1" ht="12" x14ac:dyDescent="0.2">
      <c r="C211" s="38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41"/>
      <c r="S211" s="40"/>
      <c r="T211" s="41"/>
      <c r="U211" s="39"/>
      <c r="V211" s="39"/>
      <c r="W211" s="39"/>
    </row>
    <row r="212" spans="3:23" s="37" customFormat="1" ht="12" x14ac:dyDescent="0.2">
      <c r="C212" s="38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41"/>
      <c r="S212" s="40"/>
      <c r="T212" s="41"/>
      <c r="U212" s="39"/>
      <c r="V212" s="39"/>
      <c r="W212" s="39"/>
    </row>
    <row r="213" spans="3:23" s="37" customFormat="1" ht="12" x14ac:dyDescent="0.2">
      <c r="C213" s="38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41"/>
      <c r="S213" s="40"/>
      <c r="T213" s="41"/>
      <c r="U213" s="39"/>
      <c r="V213" s="39"/>
      <c r="W213" s="39"/>
    </row>
    <row r="214" spans="3:23" s="37" customFormat="1" ht="12" x14ac:dyDescent="0.2">
      <c r="C214" s="38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41"/>
      <c r="S214" s="40"/>
      <c r="T214" s="41"/>
      <c r="U214" s="39"/>
      <c r="V214" s="39"/>
      <c r="W214" s="39"/>
    </row>
    <row r="215" spans="3:23" s="37" customFormat="1" ht="12" x14ac:dyDescent="0.2">
      <c r="C215" s="38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41"/>
      <c r="S215" s="40"/>
      <c r="T215" s="41"/>
      <c r="U215" s="39"/>
      <c r="V215" s="39"/>
      <c r="W215" s="39"/>
    </row>
    <row r="216" spans="3:23" s="37" customFormat="1" ht="12" x14ac:dyDescent="0.2">
      <c r="C216" s="38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41"/>
      <c r="S216" s="40"/>
      <c r="T216" s="41"/>
      <c r="U216" s="39"/>
      <c r="V216" s="39"/>
      <c r="W216" s="39"/>
    </row>
    <row r="217" spans="3:23" s="37" customFormat="1" ht="12" x14ac:dyDescent="0.2">
      <c r="C217" s="38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41"/>
      <c r="S217" s="40"/>
      <c r="T217" s="41"/>
      <c r="U217" s="39"/>
      <c r="V217" s="39"/>
      <c r="W217" s="39"/>
    </row>
    <row r="218" spans="3:23" s="37" customFormat="1" ht="12" x14ac:dyDescent="0.2">
      <c r="C218" s="38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41"/>
      <c r="S218" s="40"/>
      <c r="T218" s="41"/>
      <c r="U218" s="39"/>
      <c r="V218" s="39"/>
      <c r="W218" s="39"/>
    </row>
    <row r="219" spans="3:23" s="37" customFormat="1" ht="12" x14ac:dyDescent="0.2">
      <c r="C219" s="38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41"/>
      <c r="S219" s="40"/>
      <c r="T219" s="41"/>
      <c r="U219" s="39"/>
      <c r="V219" s="39"/>
      <c r="W219" s="39"/>
    </row>
    <row r="220" spans="3:23" s="37" customFormat="1" ht="12" x14ac:dyDescent="0.2">
      <c r="C220" s="38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41"/>
      <c r="S220" s="40"/>
      <c r="T220" s="41"/>
      <c r="U220" s="39"/>
      <c r="V220" s="39"/>
      <c r="W220" s="39"/>
    </row>
    <row r="221" spans="3:23" s="37" customFormat="1" ht="12" x14ac:dyDescent="0.2">
      <c r="C221" s="38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41"/>
      <c r="S221" s="40"/>
      <c r="T221" s="41"/>
      <c r="U221" s="39"/>
      <c r="V221" s="39"/>
      <c r="W221" s="39"/>
    </row>
    <row r="222" spans="3:23" s="37" customFormat="1" ht="12" x14ac:dyDescent="0.2">
      <c r="C222" s="38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41"/>
      <c r="S222" s="40"/>
      <c r="T222" s="41"/>
      <c r="U222" s="39"/>
      <c r="V222" s="39"/>
      <c r="W222" s="39"/>
    </row>
    <row r="223" spans="3:23" s="37" customFormat="1" ht="12" x14ac:dyDescent="0.2">
      <c r="C223" s="38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41"/>
      <c r="S223" s="40"/>
      <c r="T223" s="41"/>
      <c r="U223" s="39"/>
      <c r="V223" s="39"/>
      <c r="W223" s="39"/>
    </row>
    <row r="224" spans="3:23" s="37" customFormat="1" ht="12" x14ac:dyDescent="0.2">
      <c r="C224" s="38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41"/>
      <c r="S224" s="40"/>
      <c r="T224" s="41"/>
      <c r="U224" s="39"/>
      <c r="V224" s="39"/>
      <c r="W224" s="39"/>
    </row>
    <row r="225" spans="3:23" s="37" customFormat="1" ht="12" x14ac:dyDescent="0.2">
      <c r="C225" s="38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41"/>
      <c r="S225" s="40"/>
      <c r="T225" s="41"/>
      <c r="U225" s="39"/>
      <c r="V225" s="39"/>
      <c r="W225" s="39"/>
    </row>
    <row r="226" spans="3:23" s="37" customFormat="1" ht="12" x14ac:dyDescent="0.2">
      <c r="C226" s="38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41"/>
      <c r="S226" s="40"/>
      <c r="T226" s="41"/>
      <c r="U226" s="39"/>
      <c r="V226" s="39"/>
      <c r="W226" s="39"/>
    </row>
    <row r="227" spans="3:23" s="37" customFormat="1" ht="12" x14ac:dyDescent="0.2">
      <c r="C227" s="38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41"/>
      <c r="S227" s="40"/>
      <c r="T227" s="41"/>
      <c r="U227" s="39"/>
      <c r="V227" s="39"/>
      <c r="W227" s="39"/>
    </row>
    <row r="228" spans="3:23" s="37" customFormat="1" ht="12" x14ac:dyDescent="0.2">
      <c r="C228" s="38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41"/>
      <c r="S228" s="40"/>
      <c r="T228" s="41"/>
      <c r="U228" s="39"/>
      <c r="V228" s="39"/>
      <c r="W228" s="39"/>
    </row>
    <row r="229" spans="3:23" s="37" customFormat="1" ht="12" x14ac:dyDescent="0.2">
      <c r="C229" s="38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41"/>
      <c r="S229" s="40"/>
      <c r="T229" s="41"/>
      <c r="U229" s="39"/>
      <c r="V229" s="39"/>
      <c r="W229" s="39"/>
    </row>
    <row r="230" spans="3:23" s="37" customFormat="1" ht="12" x14ac:dyDescent="0.2">
      <c r="C230" s="38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41"/>
      <c r="S230" s="40"/>
      <c r="T230" s="41"/>
      <c r="U230" s="39"/>
      <c r="V230" s="39"/>
      <c r="W230" s="39"/>
    </row>
    <row r="231" spans="3:23" s="37" customFormat="1" ht="12" x14ac:dyDescent="0.2">
      <c r="C231" s="38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41"/>
      <c r="S231" s="40"/>
      <c r="T231" s="41"/>
      <c r="U231" s="39"/>
      <c r="V231" s="39"/>
      <c r="W231" s="39"/>
    </row>
    <row r="232" spans="3:23" s="37" customFormat="1" ht="12" x14ac:dyDescent="0.2">
      <c r="C232" s="38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41"/>
      <c r="S232" s="40"/>
      <c r="T232" s="41"/>
      <c r="U232" s="39"/>
      <c r="V232" s="39"/>
      <c r="W232" s="39"/>
    </row>
    <row r="233" spans="3:23" s="37" customFormat="1" ht="12" x14ac:dyDescent="0.2">
      <c r="C233" s="38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41"/>
      <c r="S233" s="40"/>
      <c r="T233" s="41"/>
      <c r="U233" s="39"/>
      <c r="V233" s="39"/>
      <c r="W233" s="39"/>
    </row>
    <row r="234" spans="3:23" s="37" customFormat="1" ht="12" x14ac:dyDescent="0.2">
      <c r="C234" s="38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41"/>
      <c r="S234" s="40"/>
      <c r="T234" s="41"/>
      <c r="U234" s="39"/>
      <c r="V234" s="39"/>
      <c r="W234" s="39"/>
    </row>
    <row r="235" spans="3:23" s="37" customFormat="1" ht="12" x14ac:dyDescent="0.2">
      <c r="C235" s="38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41"/>
      <c r="S235" s="40"/>
      <c r="T235" s="41"/>
      <c r="U235" s="39"/>
      <c r="V235" s="39"/>
      <c r="W235" s="39"/>
    </row>
    <row r="236" spans="3:23" s="37" customFormat="1" ht="12" x14ac:dyDescent="0.2">
      <c r="C236" s="38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41"/>
      <c r="S236" s="40"/>
      <c r="T236" s="41"/>
      <c r="U236" s="39"/>
      <c r="V236" s="39"/>
      <c r="W236" s="39"/>
    </row>
    <row r="237" spans="3:23" s="37" customFormat="1" ht="12" x14ac:dyDescent="0.2">
      <c r="C237" s="38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41"/>
      <c r="S237" s="40"/>
      <c r="T237" s="41"/>
      <c r="U237" s="39"/>
      <c r="V237" s="39"/>
      <c r="W237" s="39"/>
    </row>
    <row r="238" spans="3:23" s="37" customFormat="1" ht="12" x14ac:dyDescent="0.2">
      <c r="C238" s="38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41"/>
      <c r="S238" s="40"/>
      <c r="T238" s="41"/>
      <c r="U238" s="39"/>
      <c r="V238" s="39"/>
      <c r="W238" s="39"/>
    </row>
    <row r="239" spans="3:23" s="37" customFormat="1" ht="12" x14ac:dyDescent="0.2">
      <c r="C239" s="38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41"/>
      <c r="S239" s="40"/>
      <c r="T239" s="41"/>
      <c r="U239" s="39"/>
      <c r="V239" s="39"/>
      <c r="W239" s="39"/>
    </row>
    <row r="240" spans="3:23" s="37" customFormat="1" ht="12" x14ac:dyDescent="0.2">
      <c r="C240" s="38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41"/>
      <c r="S240" s="40"/>
      <c r="T240" s="41"/>
      <c r="U240" s="39"/>
      <c r="V240" s="39"/>
      <c r="W240" s="39"/>
    </row>
    <row r="241" spans="3:23" s="37" customFormat="1" ht="12" x14ac:dyDescent="0.2">
      <c r="C241" s="38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41"/>
      <c r="S241" s="40"/>
      <c r="T241" s="41"/>
      <c r="U241" s="39"/>
      <c r="V241" s="39"/>
      <c r="W241" s="39"/>
    </row>
    <row r="242" spans="3:23" s="37" customFormat="1" ht="12" x14ac:dyDescent="0.2">
      <c r="C242" s="38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41"/>
      <c r="S242" s="40"/>
      <c r="T242" s="41"/>
      <c r="U242" s="39"/>
      <c r="V242" s="39"/>
      <c r="W242" s="39"/>
    </row>
    <row r="243" spans="3:23" s="37" customFormat="1" ht="12" x14ac:dyDescent="0.2">
      <c r="C243" s="38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41"/>
      <c r="S243" s="40"/>
      <c r="T243" s="41"/>
      <c r="U243" s="39"/>
      <c r="V243" s="39"/>
      <c r="W243" s="39"/>
    </row>
    <row r="244" spans="3:23" s="37" customFormat="1" ht="12" x14ac:dyDescent="0.2">
      <c r="C244" s="38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41"/>
      <c r="S244" s="40"/>
      <c r="T244" s="41"/>
      <c r="U244" s="39"/>
      <c r="V244" s="39"/>
      <c r="W244" s="39"/>
    </row>
    <row r="245" spans="3:23" s="37" customFormat="1" ht="12" x14ac:dyDescent="0.2">
      <c r="C245" s="38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41"/>
      <c r="S245" s="40"/>
      <c r="T245" s="41"/>
      <c r="U245" s="39"/>
      <c r="V245" s="39"/>
      <c r="W245" s="39"/>
    </row>
    <row r="246" spans="3:23" s="37" customFormat="1" ht="12" x14ac:dyDescent="0.2">
      <c r="C246" s="38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41"/>
      <c r="S246" s="40"/>
      <c r="T246" s="41"/>
      <c r="U246" s="39"/>
      <c r="V246" s="39"/>
      <c r="W246" s="39"/>
    </row>
    <row r="247" spans="3:23" s="37" customFormat="1" ht="12" x14ac:dyDescent="0.2">
      <c r="C247" s="38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41"/>
      <c r="S247" s="40"/>
      <c r="T247" s="41"/>
      <c r="U247" s="39"/>
      <c r="V247" s="39"/>
      <c r="W247" s="39"/>
    </row>
    <row r="248" spans="3:23" s="37" customFormat="1" ht="12" x14ac:dyDescent="0.2">
      <c r="C248" s="38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41"/>
      <c r="S248" s="40"/>
      <c r="T248" s="41"/>
      <c r="U248" s="39"/>
      <c r="V248" s="39"/>
      <c r="W248" s="39"/>
    </row>
    <row r="249" spans="3:23" s="37" customFormat="1" ht="12" x14ac:dyDescent="0.2">
      <c r="C249" s="38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41"/>
      <c r="S249" s="40"/>
      <c r="T249" s="41"/>
      <c r="U249" s="39"/>
      <c r="V249" s="39"/>
      <c r="W249" s="39"/>
    </row>
    <row r="250" spans="3:23" s="37" customFormat="1" ht="12" x14ac:dyDescent="0.2">
      <c r="C250" s="38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41"/>
      <c r="S250" s="40"/>
      <c r="T250" s="41"/>
      <c r="U250" s="39"/>
      <c r="V250" s="39"/>
      <c r="W250" s="39"/>
    </row>
    <row r="251" spans="3:23" s="37" customFormat="1" ht="12" x14ac:dyDescent="0.2">
      <c r="C251" s="38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41"/>
      <c r="S251" s="40"/>
      <c r="T251" s="41"/>
      <c r="U251" s="39"/>
      <c r="V251" s="39"/>
      <c r="W251" s="39"/>
    </row>
    <row r="252" spans="3:23" s="37" customFormat="1" ht="12" x14ac:dyDescent="0.2">
      <c r="C252" s="38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41"/>
      <c r="S252" s="40"/>
      <c r="T252" s="41"/>
      <c r="U252" s="39"/>
      <c r="V252" s="39"/>
      <c r="W252" s="39"/>
    </row>
    <row r="253" spans="3:23" s="37" customFormat="1" ht="12" x14ac:dyDescent="0.2">
      <c r="C253" s="38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41"/>
      <c r="S253" s="40"/>
      <c r="T253" s="41"/>
      <c r="U253" s="39"/>
      <c r="V253" s="39"/>
      <c r="W253" s="39"/>
    </row>
    <row r="254" spans="3:23" s="37" customFormat="1" ht="12" x14ac:dyDescent="0.2">
      <c r="C254" s="38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41"/>
      <c r="S254" s="40"/>
      <c r="T254" s="41"/>
      <c r="U254" s="39"/>
      <c r="V254" s="39"/>
      <c r="W254" s="39"/>
    </row>
    <row r="255" spans="3:23" s="37" customFormat="1" ht="12" x14ac:dyDescent="0.2">
      <c r="C255" s="38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41"/>
      <c r="S255" s="40"/>
      <c r="T255" s="41"/>
      <c r="U255" s="39"/>
      <c r="V255" s="39"/>
      <c r="W255" s="39"/>
    </row>
    <row r="256" spans="3:23" s="37" customFormat="1" ht="12" x14ac:dyDescent="0.2">
      <c r="C256" s="38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41"/>
      <c r="S256" s="40"/>
      <c r="T256" s="41"/>
      <c r="U256" s="39"/>
      <c r="V256" s="39"/>
      <c r="W256" s="39"/>
    </row>
    <row r="257" spans="3:23" s="37" customFormat="1" ht="12" x14ac:dyDescent="0.2">
      <c r="C257" s="38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41"/>
      <c r="S257" s="40"/>
      <c r="T257" s="41"/>
      <c r="U257" s="39"/>
      <c r="V257" s="39"/>
      <c r="W257" s="39"/>
    </row>
    <row r="258" spans="3:23" s="37" customFormat="1" ht="12" x14ac:dyDescent="0.2">
      <c r="C258" s="38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41"/>
      <c r="S258" s="40"/>
      <c r="T258" s="41"/>
      <c r="U258" s="39"/>
      <c r="V258" s="39"/>
      <c r="W258" s="39"/>
    </row>
    <row r="259" spans="3:23" s="37" customFormat="1" ht="12" x14ac:dyDescent="0.2">
      <c r="C259" s="38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41"/>
      <c r="S259" s="40"/>
      <c r="T259" s="41"/>
      <c r="U259" s="39"/>
      <c r="V259" s="39"/>
      <c r="W259" s="39"/>
    </row>
    <row r="260" spans="3:23" s="37" customFormat="1" ht="12" x14ac:dyDescent="0.2">
      <c r="C260" s="38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41"/>
      <c r="S260" s="40"/>
      <c r="T260" s="41"/>
      <c r="U260" s="39"/>
      <c r="V260" s="39"/>
      <c r="W260" s="39"/>
    </row>
    <row r="261" spans="3:23" s="37" customFormat="1" ht="12" x14ac:dyDescent="0.2">
      <c r="C261" s="38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41"/>
      <c r="S261" s="40"/>
      <c r="T261" s="41"/>
      <c r="U261" s="39"/>
      <c r="V261" s="39"/>
      <c r="W261" s="39"/>
    </row>
    <row r="262" spans="3:23" s="37" customFormat="1" ht="12" x14ac:dyDescent="0.2">
      <c r="C262" s="38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41"/>
      <c r="S262" s="40"/>
      <c r="T262" s="41"/>
      <c r="U262" s="39"/>
      <c r="V262" s="39"/>
      <c r="W262" s="39"/>
    </row>
    <row r="263" spans="3:23" s="37" customFormat="1" ht="12" x14ac:dyDescent="0.2">
      <c r="C263" s="38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41"/>
      <c r="S263" s="40"/>
      <c r="T263" s="41"/>
      <c r="U263" s="39"/>
      <c r="V263" s="39"/>
      <c r="W263" s="39"/>
    </row>
    <row r="264" spans="3:23" s="37" customFormat="1" ht="12" x14ac:dyDescent="0.2">
      <c r="C264" s="38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41"/>
      <c r="S264" s="40"/>
      <c r="T264" s="41"/>
      <c r="U264" s="39"/>
      <c r="V264" s="39"/>
      <c r="W264" s="39"/>
    </row>
    <row r="265" spans="3:23" s="37" customFormat="1" ht="12" x14ac:dyDescent="0.2">
      <c r="C265" s="38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41"/>
      <c r="S265" s="40"/>
      <c r="T265" s="41"/>
      <c r="U265" s="39"/>
      <c r="V265" s="39"/>
      <c r="W265" s="39"/>
    </row>
    <row r="266" spans="3:23" s="37" customFormat="1" ht="12" x14ac:dyDescent="0.2">
      <c r="C266" s="38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41"/>
      <c r="S266" s="40"/>
      <c r="T266" s="41"/>
      <c r="U266" s="39"/>
      <c r="V266" s="39"/>
      <c r="W266" s="39"/>
    </row>
    <row r="267" spans="3:23" s="37" customFormat="1" ht="12" x14ac:dyDescent="0.2">
      <c r="C267" s="38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41"/>
      <c r="S267" s="40"/>
      <c r="T267" s="41"/>
      <c r="U267" s="39"/>
      <c r="V267" s="39"/>
      <c r="W267" s="39"/>
    </row>
    <row r="268" spans="3:23" s="37" customFormat="1" ht="12" x14ac:dyDescent="0.2">
      <c r="C268" s="38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41"/>
      <c r="S268" s="40"/>
      <c r="T268" s="41"/>
      <c r="U268" s="39"/>
      <c r="V268" s="39"/>
      <c r="W268" s="39"/>
    </row>
    <row r="269" spans="3:23" s="37" customFormat="1" ht="12" x14ac:dyDescent="0.2">
      <c r="C269" s="38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41"/>
      <c r="S269" s="40"/>
      <c r="T269" s="41"/>
      <c r="U269" s="39"/>
      <c r="V269" s="39"/>
      <c r="W269" s="39"/>
    </row>
    <row r="270" spans="3:23" s="37" customFormat="1" ht="12" x14ac:dyDescent="0.2">
      <c r="C270" s="38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41"/>
      <c r="S270" s="40"/>
      <c r="T270" s="41"/>
      <c r="U270" s="39"/>
      <c r="V270" s="39"/>
      <c r="W270" s="39"/>
    </row>
    <row r="271" spans="3:23" s="37" customFormat="1" ht="12" x14ac:dyDescent="0.2">
      <c r="C271" s="38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41"/>
      <c r="S271" s="40"/>
      <c r="T271" s="41"/>
      <c r="U271" s="39"/>
      <c r="V271" s="39"/>
      <c r="W271" s="39"/>
    </row>
    <row r="272" spans="3:23" s="37" customFormat="1" ht="12" x14ac:dyDescent="0.2">
      <c r="C272" s="38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41"/>
      <c r="S272" s="40"/>
      <c r="T272" s="41"/>
      <c r="U272" s="39"/>
      <c r="V272" s="39"/>
      <c r="W272" s="39"/>
    </row>
    <row r="273" spans="3:23" s="37" customFormat="1" ht="12" x14ac:dyDescent="0.2">
      <c r="C273" s="38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41"/>
      <c r="S273" s="40"/>
      <c r="T273" s="41"/>
      <c r="U273" s="39"/>
      <c r="V273" s="39"/>
      <c r="W273" s="39"/>
    </row>
    <row r="274" spans="3:23" s="37" customFormat="1" ht="12" x14ac:dyDescent="0.2">
      <c r="C274" s="38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41"/>
      <c r="S274" s="40"/>
      <c r="T274" s="41"/>
      <c r="U274" s="39"/>
      <c r="V274" s="39"/>
      <c r="W274" s="39"/>
    </row>
    <row r="275" spans="3:23" s="37" customFormat="1" ht="12" x14ac:dyDescent="0.2">
      <c r="C275" s="38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41"/>
      <c r="S275" s="40"/>
      <c r="T275" s="41"/>
      <c r="U275" s="39"/>
      <c r="V275" s="39"/>
      <c r="W275" s="39"/>
    </row>
    <row r="276" spans="3:23" s="37" customFormat="1" ht="12" x14ac:dyDescent="0.2">
      <c r="C276" s="38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41"/>
      <c r="S276" s="40"/>
      <c r="T276" s="41"/>
      <c r="U276" s="39"/>
      <c r="V276" s="39"/>
      <c r="W276" s="39"/>
    </row>
    <row r="277" spans="3:23" x14ac:dyDescent="0.25"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R277" s="27"/>
      <c r="S277" s="23"/>
      <c r="T277" s="27"/>
      <c r="U277" s="22"/>
      <c r="V277" s="22"/>
      <c r="W277" s="22"/>
    </row>
  </sheetData>
  <sheetProtection algorithmName="SHA-512" hashValue="Gf25SbTr50PeasZqOjLWlrOUHzYVJgYERqXV2QfnMvlroNyv8A/BBI+TYJ1yUh7mHnGB82AHrEhb4LG4IUW4rQ==" saltValue="Av+8RaeTFLip0dXeY1jMew==" spinCount="100000" sheet="1" objects="1" scenarios="1" selectLockedCells="1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</vt:i4>
      </vt:variant>
    </vt:vector>
  </HeadingPairs>
  <TitlesOfParts>
    <vt:vector size="20" baseType="lpstr">
      <vt:lpstr>Budget</vt:lpstr>
      <vt:lpstr>Summary</vt:lpstr>
      <vt:lpstr>MYP</vt:lpstr>
      <vt:lpstr>Function-Grant</vt:lpstr>
      <vt:lpstr>FY21</vt:lpstr>
      <vt:lpstr>FY22</vt:lpstr>
      <vt:lpstr>FY23</vt:lpstr>
      <vt:lpstr>FY24</vt:lpstr>
      <vt:lpstr>FY25</vt:lpstr>
      <vt:lpstr>Instruction</vt:lpstr>
      <vt:lpstr>Rev &amp; Enroll</vt:lpstr>
      <vt:lpstr>Payroll</vt:lpstr>
      <vt:lpstr>Exp Details</vt:lpstr>
      <vt:lpstr>Request for Change</vt:lpstr>
      <vt:lpstr>Programs List</vt:lpstr>
      <vt:lpstr>Original Budget</vt:lpstr>
      <vt:lpstr>Revised Budget</vt:lpstr>
      <vt:lpstr>Import</vt:lpstr>
      <vt:lpstr>Budget!Print_Area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Spencer Styles</dc:creator>
  <cp:lastModifiedBy>John D. Hawk</cp:lastModifiedBy>
  <cp:lastPrinted>2020-04-09T22:35:47Z</cp:lastPrinted>
  <dcterms:created xsi:type="dcterms:W3CDTF">2019-09-05T22:17:09Z</dcterms:created>
  <dcterms:modified xsi:type="dcterms:W3CDTF">2020-04-15T23:13:24Z</dcterms:modified>
</cp:coreProperties>
</file>