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9250" windowHeight="6030"/>
  </bookViews>
  <sheets>
    <sheet name="Y1 Cash Flow" sheetId="1" r:id="rId1"/>
    <sheet name="CIVICA 6 Ye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H16" i="1"/>
  <c r="I16" i="1"/>
  <c r="J16" i="1"/>
  <c r="K16" i="1"/>
  <c r="L16" i="1"/>
  <c r="M16" i="1"/>
  <c r="N16" i="1"/>
  <c r="O16" i="1"/>
  <c r="P16" i="1"/>
  <c r="Q16" i="1"/>
  <c r="G16" i="1"/>
  <c r="H15" i="1"/>
  <c r="I15" i="1"/>
  <c r="J15" i="1"/>
  <c r="K15" i="1"/>
  <c r="L15" i="1"/>
  <c r="M15" i="1"/>
  <c r="N15" i="1"/>
  <c r="O15" i="1"/>
  <c r="P15" i="1"/>
  <c r="Q15" i="1"/>
  <c r="G15" i="1"/>
  <c r="D8" i="1"/>
  <c r="D5" i="1"/>
  <c r="D6" i="1"/>
  <c r="D7" i="1"/>
  <c r="D177" i="2"/>
  <c r="H176" i="2"/>
  <c r="H177" i="2" s="1"/>
  <c r="G176" i="2"/>
  <c r="F176" i="2"/>
  <c r="E176" i="2"/>
  <c r="D176" i="2"/>
  <c r="C176" i="2"/>
  <c r="B176" i="2"/>
  <c r="H174" i="2"/>
  <c r="G174" i="2"/>
  <c r="G177" i="2" s="1"/>
  <c r="F174" i="2"/>
  <c r="F177" i="2" s="1"/>
  <c r="E174" i="2"/>
  <c r="E177" i="2" s="1"/>
  <c r="D174" i="2"/>
  <c r="C174" i="2"/>
  <c r="C177" i="2" s="1"/>
  <c r="B174" i="2"/>
  <c r="B177" i="2" s="1"/>
  <c r="H169" i="2"/>
  <c r="G169" i="2"/>
  <c r="F169" i="2"/>
  <c r="E169" i="2"/>
  <c r="D169" i="2"/>
  <c r="C169" i="2"/>
  <c r="B169" i="2"/>
  <c r="A169" i="2"/>
  <c r="B156" i="2"/>
  <c r="D155" i="2"/>
  <c r="E155" i="2" s="1"/>
  <c r="F155" i="2" s="1"/>
  <c r="G155" i="2" s="1"/>
  <c r="H155" i="2" s="1"/>
  <c r="F154" i="2"/>
  <c r="G154" i="2" s="1"/>
  <c r="H154" i="2" s="1"/>
  <c r="E154" i="2"/>
  <c r="D154" i="2"/>
  <c r="C154" i="2"/>
  <c r="G153" i="2"/>
  <c r="H153" i="2" s="1"/>
  <c r="D153" i="2"/>
  <c r="E153" i="2" s="1"/>
  <c r="F153" i="2" s="1"/>
  <c r="D152" i="2"/>
  <c r="G151" i="2"/>
  <c r="H151" i="2" s="1"/>
  <c r="F151" i="2"/>
  <c r="E151" i="2"/>
  <c r="D151" i="2"/>
  <c r="C151" i="2"/>
  <c r="H150" i="2"/>
  <c r="E150" i="2"/>
  <c r="F150" i="2" s="1"/>
  <c r="G150" i="2" s="1"/>
  <c r="D150" i="2"/>
  <c r="H149" i="2"/>
  <c r="G149" i="2"/>
  <c r="F149" i="2"/>
  <c r="E149" i="2"/>
  <c r="D149" i="2"/>
  <c r="D156" i="2" s="1"/>
  <c r="C149" i="2"/>
  <c r="H148" i="2"/>
  <c r="G148" i="2"/>
  <c r="F148" i="2"/>
  <c r="E148" i="2"/>
  <c r="D148" i="2"/>
  <c r="C148" i="2"/>
  <c r="B148" i="2"/>
  <c r="C145" i="2"/>
  <c r="G143" i="2"/>
  <c r="F143" i="2"/>
  <c r="E143" i="2"/>
  <c r="D143" i="2"/>
  <c r="F140" i="2"/>
  <c r="G140" i="2" s="1"/>
  <c r="H140" i="2" s="1"/>
  <c r="E140" i="2"/>
  <c r="D140" i="2"/>
  <c r="B138" i="2"/>
  <c r="E135" i="2"/>
  <c r="F135" i="2" s="1"/>
  <c r="D135" i="2"/>
  <c r="E134" i="2"/>
  <c r="F134" i="2" s="1"/>
  <c r="G134" i="2" s="1"/>
  <c r="H134" i="2" s="1"/>
  <c r="D134" i="2"/>
  <c r="G132" i="2"/>
  <c r="B132" i="2"/>
  <c r="F130" i="2"/>
  <c r="E130" i="2"/>
  <c r="G127" i="2"/>
  <c r="H127" i="2" s="1"/>
  <c r="F127" i="2"/>
  <c r="E127" i="2"/>
  <c r="D127" i="2"/>
  <c r="G126" i="2"/>
  <c r="D126" i="2"/>
  <c r="F124" i="2"/>
  <c r="H122" i="2"/>
  <c r="G122" i="2"/>
  <c r="F122" i="2"/>
  <c r="D121" i="2"/>
  <c r="F120" i="2"/>
  <c r="B120" i="2"/>
  <c r="E119" i="2"/>
  <c r="B119" i="2"/>
  <c r="D118" i="2"/>
  <c r="H117" i="2"/>
  <c r="G115" i="2"/>
  <c r="B115" i="2"/>
  <c r="H114" i="2"/>
  <c r="G114" i="2"/>
  <c r="F114" i="2"/>
  <c r="E114" i="2"/>
  <c r="D114" i="2"/>
  <c r="C114" i="2"/>
  <c r="B114" i="2"/>
  <c r="H105" i="2"/>
  <c r="G105" i="2"/>
  <c r="F105" i="2"/>
  <c r="E105" i="2"/>
  <c r="D105" i="2"/>
  <c r="C105" i="2"/>
  <c r="B105" i="2"/>
  <c r="F103" i="2"/>
  <c r="G103" i="2" s="1"/>
  <c r="E103" i="2"/>
  <c r="D103" i="2"/>
  <c r="D102" i="2"/>
  <c r="E102" i="2" s="1"/>
  <c r="F102" i="2" s="1"/>
  <c r="G102" i="2" s="1"/>
  <c r="H102" i="2" s="1"/>
  <c r="H101" i="2"/>
  <c r="D101" i="2"/>
  <c r="E101" i="2" s="1"/>
  <c r="F101" i="2" s="1"/>
  <c r="G101" i="2" s="1"/>
  <c r="E100" i="2"/>
  <c r="F100" i="2" s="1"/>
  <c r="G100" i="2" s="1"/>
  <c r="H100" i="2" s="1"/>
  <c r="D100" i="2"/>
  <c r="H96" i="2"/>
  <c r="G96" i="2"/>
  <c r="F96" i="2"/>
  <c r="E96" i="2"/>
  <c r="D96" i="2"/>
  <c r="C96" i="2"/>
  <c r="B96" i="2"/>
  <c r="H95" i="2"/>
  <c r="G95" i="2"/>
  <c r="F95" i="2"/>
  <c r="E95" i="2"/>
  <c r="D95" i="2"/>
  <c r="C95" i="2"/>
  <c r="B95" i="2"/>
  <c r="H94" i="2"/>
  <c r="G94" i="2"/>
  <c r="F94" i="2"/>
  <c r="E94" i="2"/>
  <c r="D94" i="2"/>
  <c r="C94" i="2"/>
  <c r="B94" i="2"/>
  <c r="F93" i="2"/>
  <c r="G93" i="2" s="1"/>
  <c r="H93" i="2" s="1"/>
  <c r="E93" i="2"/>
  <c r="D93" i="2"/>
  <c r="C93" i="2"/>
  <c r="H92" i="2"/>
  <c r="G92" i="2"/>
  <c r="F92" i="2"/>
  <c r="E92" i="2"/>
  <c r="D92" i="2"/>
  <c r="C92" i="2"/>
  <c r="B92" i="2"/>
  <c r="F91" i="2"/>
  <c r="C91" i="2"/>
  <c r="E90" i="2"/>
  <c r="F90" i="2" s="1"/>
  <c r="G90" i="2" s="1"/>
  <c r="H90" i="2" s="1"/>
  <c r="D90" i="2"/>
  <c r="G89" i="2"/>
  <c r="H89" i="2" s="1"/>
  <c r="F89" i="2"/>
  <c r="E88" i="2"/>
  <c r="F88" i="2" s="1"/>
  <c r="G88" i="2" s="1"/>
  <c r="H88" i="2" s="1"/>
  <c r="D88" i="2"/>
  <c r="G87" i="2"/>
  <c r="H87" i="2" s="1"/>
  <c r="F87" i="2"/>
  <c r="E87" i="2"/>
  <c r="D87" i="2"/>
  <c r="C87" i="2"/>
  <c r="E86" i="2"/>
  <c r="D86" i="2"/>
  <c r="C86" i="2"/>
  <c r="B86" i="2"/>
  <c r="H85" i="2"/>
  <c r="G85" i="2"/>
  <c r="F85" i="2"/>
  <c r="E85" i="2"/>
  <c r="D85" i="2"/>
  <c r="C85" i="2"/>
  <c r="B85" i="2"/>
  <c r="H81" i="2"/>
  <c r="G81" i="2"/>
  <c r="F81" i="2"/>
  <c r="E81" i="2"/>
  <c r="D81" i="2"/>
  <c r="C81" i="2"/>
  <c r="B81" i="2"/>
  <c r="C80" i="2"/>
  <c r="B80" i="2"/>
  <c r="C79" i="2"/>
  <c r="B79" i="2"/>
  <c r="E74" i="2"/>
  <c r="E80" i="2" s="1"/>
  <c r="E73" i="2"/>
  <c r="E79" i="2" s="1"/>
  <c r="C73" i="2"/>
  <c r="H72" i="2"/>
  <c r="H78" i="2" s="1"/>
  <c r="B71" i="2"/>
  <c r="H61" i="2"/>
  <c r="E61" i="2"/>
  <c r="D61" i="2"/>
  <c r="D60" i="2"/>
  <c r="D62" i="2" s="1"/>
  <c r="D129" i="2" s="1"/>
  <c r="H58" i="2"/>
  <c r="G58" i="2"/>
  <c r="G61" i="2" s="1"/>
  <c r="F58" i="2"/>
  <c r="F61" i="2" s="1"/>
  <c r="E58" i="2"/>
  <c r="D58" i="2"/>
  <c r="C58" i="2"/>
  <c r="C61" i="2" s="1"/>
  <c r="B58" i="2"/>
  <c r="B61" i="2" s="1"/>
  <c r="H38" i="2"/>
  <c r="G38" i="2"/>
  <c r="F38" i="2"/>
  <c r="E38" i="2"/>
  <c r="D38" i="2"/>
  <c r="C38" i="2"/>
  <c r="B38" i="2"/>
  <c r="D36" i="2"/>
  <c r="D91" i="2" s="1"/>
  <c r="H26" i="2"/>
  <c r="H36" i="2" s="1"/>
  <c r="G26" i="2"/>
  <c r="G36" i="2" s="1"/>
  <c r="G91" i="2" s="1"/>
  <c r="F26" i="2"/>
  <c r="F36" i="2" s="1"/>
  <c r="E26" i="2"/>
  <c r="E36" i="2" s="1"/>
  <c r="D26" i="2"/>
  <c r="C26" i="2"/>
  <c r="C36" i="2" s="1"/>
  <c r="B26" i="2"/>
  <c r="B36" i="2" s="1"/>
  <c r="H25" i="2"/>
  <c r="G25" i="2"/>
  <c r="F25" i="2"/>
  <c r="E25" i="2"/>
  <c r="D25" i="2"/>
  <c r="C25" i="2"/>
  <c r="B25" i="2"/>
  <c r="F20" i="2"/>
  <c r="E20" i="2"/>
  <c r="F73" i="2" s="1"/>
  <c r="F79" i="2" s="1"/>
  <c r="D20" i="2"/>
  <c r="H19" i="2"/>
  <c r="G19" i="2"/>
  <c r="F19" i="2"/>
  <c r="E19" i="2"/>
  <c r="D19" i="2"/>
  <c r="C19" i="2"/>
  <c r="B19" i="2"/>
  <c r="N18" i="2"/>
  <c r="H17" i="2"/>
  <c r="H128" i="2" s="1"/>
  <c r="G17" i="2"/>
  <c r="G128" i="2" s="1"/>
  <c r="F17" i="2"/>
  <c r="F132" i="2" s="1"/>
  <c r="E17" i="2"/>
  <c r="E132" i="2" s="1"/>
  <c r="D17" i="2"/>
  <c r="D132" i="2" s="1"/>
  <c r="C17" i="2"/>
  <c r="B17" i="2"/>
  <c r="B126" i="2" s="1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R5" i="2"/>
  <c r="O5" i="2"/>
  <c r="N5" i="2"/>
  <c r="M5" i="2"/>
  <c r="L5" i="2"/>
  <c r="L17" i="2" s="1"/>
  <c r="L18" i="2" s="1"/>
  <c r="K5" i="2"/>
  <c r="J5" i="2"/>
  <c r="O4" i="2"/>
  <c r="N4" i="2"/>
  <c r="N17" i="2" s="1"/>
  <c r="M4" i="2"/>
  <c r="L4" i="2"/>
  <c r="K4" i="2"/>
  <c r="J4" i="2"/>
  <c r="J17" i="2" s="1"/>
  <c r="J18" i="2" s="1"/>
  <c r="H3" i="2"/>
  <c r="G3" i="2"/>
  <c r="F3" i="2"/>
  <c r="E3" i="2"/>
  <c r="D3" i="2"/>
  <c r="C3" i="2"/>
  <c r="B3" i="2"/>
  <c r="B77" i="2" s="1"/>
  <c r="E2" i="2"/>
  <c r="D2" i="2"/>
  <c r="D77" i="2" s="1"/>
  <c r="C2" i="2"/>
  <c r="C77" i="2" s="1"/>
  <c r="C139" i="2" s="1"/>
  <c r="F76" i="1"/>
  <c r="F75" i="1"/>
  <c r="H43" i="1"/>
  <c r="E43" i="1" s="1"/>
  <c r="D43" i="1" s="1"/>
  <c r="I43" i="1"/>
  <c r="J43" i="1"/>
  <c r="K43" i="1"/>
  <c r="L43" i="1"/>
  <c r="M43" i="1"/>
  <c r="N43" i="1"/>
  <c r="O43" i="1"/>
  <c r="P43" i="1"/>
  <c r="Q43" i="1"/>
  <c r="G43" i="1"/>
  <c r="H73" i="1"/>
  <c r="I73" i="1"/>
  <c r="J73" i="1"/>
  <c r="K73" i="1"/>
  <c r="L73" i="1"/>
  <c r="M73" i="1"/>
  <c r="N73" i="1"/>
  <c r="O73" i="1"/>
  <c r="P73" i="1"/>
  <c r="Q73" i="1"/>
  <c r="G73" i="1"/>
  <c r="H72" i="1"/>
  <c r="I72" i="1"/>
  <c r="J72" i="1"/>
  <c r="K72" i="1"/>
  <c r="L72" i="1"/>
  <c r="M72" i="1"/>
  <c r="N72" i="1"/>
  <c r="O72" i="1"/>
  <c r="P72" i="1"/>
  <c r="Q72" i="1"/>
  <c r="G72" i="1"/>
  <c r="H71" i="1"/>
  <c r="I71" i="1"/>
  <c r="J71" i="1"/>
  <c r="K71" i="1"/>
  <c r="L71" i="1"/>
  <c r="M71" i="1"/>
  <c r="N71" i="1"/>
  <c r="O71" i="1"/>
  <c r="P71" i="1"/>
  <c r="Q71" i="1"/>
  <c r="G71" i="1"/>
  <c r="H68" i="1"/>
  <c r="E68" i="1" s="1"/>
  <c r="D68" i="1" s="1"/>
  <c r="I68" i="1"/>
  <c r="J68" i="1"/>
  <c r="K68" i="1"/>
  <c r="L68" i="1"/>
  <c r="M68" i="1"/>
  <c r="N68" i="1"/>
  <c r="O68" i="1"/>
  <c r="P68" i="1"/>
  <c r="Q68" i="1"/>
  <c r="G68" i="1"/>
  <c r="H66" i="1"/>
  <c r="I66" i="1"/>
  <c r="J66" i="1"/>
  <c r="K66" i="1"/>
  <c r="L66" i="1"/>
  <c r="M66" i="1"/>
  <c r="N66" i="1"/>
  <c r="O66" i="1"/>
  <c r="P66" i="1"/>
  <c r="Q66" i="1"/>
  <c r="G66" i="1"/>
  <c r="G65" i="1"/>
  <c r="H65" i="1"/>
  <c r="I65" i="1"/>
  <c r="J65" i="1"/>
  <c r="K65" i="1"/>
  <c r="L65" i="1"/>
  <c r="M65" i="1"/>
  <c r="N65" i="1"/>
  <c r="O65" i="1"/>
  <c r="P65" i="1"/>
  <c r="Q65" i="1"/>
  <c r="F65" i="1"/>
  <c r="H57" i="1"/>
  <c r="I57" i="1"/>
  <c r="J57" i="1"/>
  <c r="K57" i="1"/>
  <c r="L57" i="1"/>
  <c r="M57" i="1"/>
  <c r="N57" i="1"/>
  <c r="O57" i="1"/>
  <c r="P57" i="1"/>
  <c r="Q57" i="1"/>
  <c r="G57" i="1"/>
  <c r="G55" i="1"/>
  <c r="H55" i="1"/>
  <c r="I55" i="1"/>
  <c r="J55" i="1"/>
  <c r="K55" i="1"/>
  <c r="L55" i="1"/>
  <c r="M55" i="1"/>
  <c r="N55" i="1"/>
  <c r="O55" i="1"/>
  <c r="P55" i="1"/>
  <c r="Q55" i="1"/>
  <c r="F55" i="1"/>
  <c r="H54" i="1"/>
  <c r="I54" i="1"/>
  <c r="J54" i="1"/>
  <c r="K54" i="1"/>
  <c r="E54" i="1" s="1"/>
  <c r="D54" i="1" s="1"/>
  <c r="L54" i="1"/>
  <c r="M54" i="1"/>
  <c r="N54" i="1"/>
  <c r="O54" i="1"/>
  <c r="P54" i="1"/>
  <c r="Q54" i="1"/>
  <c r="H53" i="1"/>
  <c r="I53" i="1"/>
  <c r="J53" i="1"/>
  <c r="K53" i="1"/>
  <c r="L53" i="1"/>
  <c r="M53" i="1"/>
  <c r="N53" i="1"/>
  <c r="O53" i="1"/>
  <c r="P53" i="1"/>
  <c r="Q53" i="1"/>
  <c r="G54" i="1"/>
  <c r="G53" i="1"/>
  <c r="G51" i="1"/>
  <c r="H51" i="1"/>
  <c r="I51" i="1"/>
  <c r="J51" i="1"/>
  <c r="K51" i="1"/>
  <c r="L51" i="1"/>
  <c r="M51" i="1"/>
  <c r="N51" i="1"/>
  <c r="O51" i="1"/>
  <c r="P51" i="1"/>
  <c r="Q51" i="1"/>
  <c r="F51" i="1"/>
  <c r="G50" i="1"/>
  <c r="H50" i="1"/>
  <c r="I50" i="1"/>
  <c r="J50" i="1"/>
  <c r="K50" i="1"/>
  <c r="L50" i="1"/>
  <c r="M50" i="1"/>
  <c r="N50" i="1"/>
  <c r="O50" i="1"/>
  <c r="P50" i="1"/>
  <c r="Q50" i="1"/>
  <c r="F50" i="1"/>
  <c r="G48" i="1"/>
  <c r="H48" i="1"/>
  <c r="I48" i="1"/>
  <c r="J48" i="1"/>
  <c r="K48" i="1"/>
  <c r="L48" i="1"/>
  <c r="M48" i="1"/>
  <c r="N48" i="1"/>
  <c r="O48" i="1"/>
  <c r="P48" i="1"/>
  <c r="Q48" i="1"/>
  <c r="F48" i="1"/>
  <c r="H45" i="1"/>
  <c r="I45" i="1"/>
  <c r="J45" i="1"/>
  <c r="K45" i="1"/>
  <c r="L45" i="1"/>
  <c r="M45" i="1"/>
  <c r="N45" i="1"/>
  <c r="O45" i="1"/>
  <c r="P45" i="1"/>
  <c r="Q45" i="1"/>
  <c r="G45" i="1"/>
  <c r="G44" i="1"/>
  <c r="H44" i="1"/>
  <c r="I44" i="1"/>
  <c r="J44" i="1"/>
  <c r="K44" i="1"/>
  <c r="L44" i="1"/>
  <c r="M44" i="1"/>
  <c r="N44" i="1"/>
  <c r="O44" i="1"/>
  <c r="P44" i="1"/>
  <c r="Q44" i="1"/>
  <c r="F44" i="1"/>
  <c r="K35" i="1"/>
  <c r="L35" i="1"/>
  <c r="M35" i="1"/>
  <c r="N35" i="1"/>
  <c r="O35" i="1"/>
  <c r="P35" i="1"/>
  <c r="Q35" i="1"/>
  <c r="J35" i="1"/>
  <c r="H33" i="1"/>
  <c r="I33" i="1"/>
  <c r="J33" i="1"/>
  <c r="K33" i="1"/>
  <c r="L33" i="1"/>
  <c r="M33" i="1"/>
  <c r="N33" i="1"/>
  <c r="O33" i="1"/>
  <c r="P33" i="1"/>
  <c r="G33" i="1"/>
  <c r="N6" i="1"/>
  <c r="J6" i="1"/>
  <c r="Q6" i="1"/>
  <c r="H27" i="1"/>
  <c r="I27" i="1"/>
  <c r="J27" i="1"/>
  <c r="K27" i="1"/>
  <c r="L27" i="1"/>
  <c r="M27" i="1"/>
  <c r="N27" i="1"/>
  <c r="O27" i="1"/>
  <c r="P27" i="1"/>
  <c r="Q27" i="1"/>
  <c r="G27" i="1"/>
  <c r="H18" i="1"/>
  <c r="I18" i="1"/>
  <c r="J18" i="1"/>
  <c r="K18" i="1"/>
  <c r="L18" i="1"/>
  <c r="M18" i="1"/>
  <c r="N18" i="1"/>
  <c r="O18" i="1"/>
  <c r="P18" i="1"/>
  <c r="Q18" i="1"/>
  <c r="H19" i="1"/>
  <c r="I19" i="1"/>
  <c r="J19" i="1"/>
  <c r="K19" i="1"/>
  <c r="L19" i="1"/>
  <c r="M19" i="1"/>
  <c r="N19" i="1"/>
  <c r="O19" i="1"/>
  <c r="P19" i="1"/>
  <c r="Q19" i="1"/>
  <c r="G19" i="1"/>
  <c r="G20" i="1"/>
  <c r="H20" i="1"/>
  <c r="I20" i="1"/>
  <c r="J20" i="1"/>
  <c r="K20" i="1"/>
  <c r="L20" i="1"/>
  <c r="M20" i="1"/>
  <c r="N20" i="1"/>
  <c r="O20" i="1"/>
  <c r="P20" i="1"/>
  <c r="Q20" i="1"/>
  <c r="F20" i="1"/>
  <c r="G18" i="1"/>
  <c r="G17" i="1"/>
  <c r="H17" i="1"/>
  <c r="I17" i="1"/>
  <c r="J17" i="1"/>
  <c r="K17" i="1"/>
  <c r="L17" i="1"/>
  <c r="M17" i="1"/>
  <c r="N17" i="1"/>
  <c r="O17" i="1"/>
  <c r="P17" i="1"/>
  <c r="Q17" i="1"/>
  <c r="F17" i="1"/>
  <c r="H13" i="1"/>
  <c r="I13" i="1"/>
  <c r="J13" i="1"/>
  <c r="K13" i="1"/>
  <c r="L13" i="1"/>
  <c r="M13" i="1"/>
  <c r="N13" i="1"/>
  <c r="O13" i="1"/>
  <c r="P13" i="1"/>
  <c r="Q13" i="1"/>
  <c r="G13" i="1"/>
  <c r="G12" i="1"/>
  <c r="H12" i="1"/>
  <c r="I12" i="1"/>
  <c r="J12" i="1"/>
  <c r="K12" i="1"/>
  <c r="L12" i="1"/>
  <c r="M12" i="1"/>
  <c r="N12" i="1"/>
  <c r="O12" i="1"/>
  <c r="P12" i="1"/>
  <c r="Q12" i="1"/>
  <c r="F12" i="1"/>
  <c r="G11" i="1"/>
  <c r="H11" i="1"/>
  <c r="I11" i="1"/>
  <c r="J11" i="1"/>
  <c r="K11" i="1"/>
  <c r="L11" i="1"/>
  <c r="M11" i="1"/>
  <c r="N11" i="1"/>
  <c r="O11" i="1"/>
  <c r="P11" i="1"/>
  <c r="Q11" i="1"/>
  <c r="F11" i="1"/>
  <c r="E14" i="1"/>
  <c r="D14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8" i="1"/>
  <c r="D28" i="1" s="1"/>
  <c r="E31" i="1"/>
  <c r="D31" i="1" s="1"/>
  <c r="E32" i="1"/>
  <c r="D32" i="1" s="1"/>
  <c r="E34" i="1"/>
  <c r="D34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6" i="1"/>
  <c r="D46" i="1" s="1"/>
  <c r="E47" i="1"/>
  <c r="D47" i="1" s="1"/>
  <c r="E49" i="1"/>
  <c r="D49" i="1" s="1"/>
  <c r="E52" i="1"/>
  <c r="D52" i="1" s="1"/>
  <c r="E56" i="1"/>
  <c r="D56" i="1" s="1"/>
  <c r="E58" i="1"/>
  <c r="D58" i="1" s="1"/>
  <c r="E59" i="1"/>
  <c r="D59" i="1" s="1"/>
  <c r="E61" i="1"/>
  <c r="D61" i="1" s="1"/>
  <c r="E62" i="1"/>
  <c r="D62" i="1" s="1"/>
  <c r="E63" i="1"/>
  <c r="D63" i="1" s="1"/>
  <c r="E64" i="1"/>
  <c r="D64" i="1" s="1"/>
  <c r="E67" i="1"/>
  <c r="D67" i="1" s="1"/>
  <c r="E69" i="1"/>
  <c r="D69" i="1" s="1"/>
  <c r="E70" i="1"/>
  <c r="D70" i="1" s="1"/>
  <c r="P60" i="1"/>
  <c r="O60" i="1"/>
  <c r="N60" i="1"/>
  <c r="M60" i="1"/>
  <c r="L60" i="1"/>
  <c r="K60" i="1"/>
  <c r="J60" i="1"/>
  <c r="I60" i="1"/>
  <c r="H60" i="1"/>
  <c r="G60" i="1"/>
  <c r="P5" i="1"/>
  <c r="O5" i="1"/>
  <c r="N5" i="1"/>
  <c r="M5" i="1"/>
  <c r="L5" i="1"/>
  <c r="K5" i="1"/>
  <c r="J5" i="1"/>
  <c r="I5" i="1"/>
  <c r="H5" i="1"/>
  <c r="G5" i="1"/>
  <c r="G4" i="1"/>
  <c r="H4" i="1"/>
  <c r="I4" i="1"/>
  <c r="J4" i="1"/>
  <c r="K4" i="1"/>
  <c r="L4" i="1"/>
  <c r="M4" i="1"/>
  <c r="N4" i="1"/>
  <c r="N8" i="1" s="1"/>
  <c r="O4" i="1"/>
  <c r="P4" i="1"/>
  <c r="Q4" i="1"/>
  <c r="F4" i="1"/>
  <c r="F8" i="1" s="1"/>
  <c r="E7" i="1"/>
  <c r="C53" i="1"/>
  <c r="C74" i="1" s="1"/>
  <c r="C8" i="1"/>
  <c r="H30" i="1" l="1"/>
  <c r="P30" i="1"/>
  <c r="C126" i="2"/>
  <c r="C20" i="2"/>
  <c r="C132" i="2"/>
  <c r="C115" i="2"/>
  <c r="C152" i="2"/>
  <c r="C118" i="2"/>
  <c r="C119" i="2"/>
  <c r="C97" i="2"/>
  <c r="C107" i="2" s="1"/>
  <c r="B137" i="2"/>
  <c r="B139" i="2"/>
  <c r="K17" i="2"/>
  <c r="K18" i="2" s="1"/>
  <c r="G60" i="2"/>
  <c r="G62" i="2" s="1"/>
  <c r="D97" i="2"/>
  <c r="D107" i="2" s="1"/>
  <c r="D112" i="2"/>
  <c r="C65" i="2"/>
  <c r="H91" i="2"/>
  <c r="H112" i="2"/>
  <c r="H60" i="2"/>
  <c r="H62" i="2" s="1"/>
  <c r="G73" i="2"/>
  <c r="G79" i="2" s="1"/>
  <c r="F121" i="2"/>
  <c r="G74" i="2"/>
  <c r="G80" i="2" s="1"/>
  <c r="B91" i="2"/>
  <c r="B97" i="2" s="1"/>
  <c r="B107" i="2" s="1"/>
  <c r="B112" i="2"/>
  <c r="B60" i="2"/>
  <c r="B62" i="2" s="1"/>
  <c r="B142" i="2" s="1"/>
  <c r="F86" i="2"/>
  <c r="G112" i="2"/>
  <c r="F156" i="2"/>
  <c r="M17" i="2"/>
  <c r="M18" i="2" s="1"/>
  <c r="B76" i="2"/>
  <c r="C66" i="2"/>
  <c r="C120" i="2"/>
  <c r="H143" i="2"/>
  <c r="G130" i="2"/>
  <c r="C112" i="2"/>
  <c r="C60" i="2"/>
  <c r="C62" i="2" s="1"/>
  <c r="C137" i="2"/>
  <c r="C138" i="2"/>
  <c r="O17" i="2"/>
  <c r="O18" i="2" s="1"/>
  <c r="H152" i="2"/>
  <c r="H156" i="2" s="1"/>
  <c r="H118" i="2"/>
  <c r="H119" i="2"/>
  <c r="H124" i="2"/>
  <c r="H120" i="2"/>
  <c r="H126" i="2"/>
  <c r="H20" i="2"/>
  <c r="H121" i="2" s="1"/>
  <c r="H132" i="2"/>
  <c r="H115" i="2"/>
  <c r="E91" i="2"/>
  <c r="E112" i="2"/>
  <c r="E60" i="2"/>
  <c r="E62" i="2" s="1"/>
  <c r="G135" i="2"/>
  <c r="E77" i="2"/>
  <c r="E71" i="2"/>
  <c r="F2" i="2"/>
  <c r="C124" i="2"/>
  <c r="C128" i="2"/>
  <c r="D137" i="2"/>
  <c r="D138" i="2"/>
  <c r="D139" i="2"/>
  <c r="F112" i="2"/>
  <c r="F60" i="2"/>
  <c r="F62" i="2" s="1"/>
  <c r="C72" i="2"/>
  <c r="C78" i="2" s="1"/>
  <c r="C82" i="2" s="1"/>
  <c r="C117" i="2"/>
  <c r="C156" i="2"/>
  <c r="G20" i="2"/>
  <c r="F74" i="2"/>
  <c r="F80" i="2" s="1"/>
  <c r="B118" i="2"/>
  <c r="B147" i="2" s="1"/>
  <c r="D120" i="2"/>
  <c r="E121" i="2"/>
  <c r="D124" i="2"/>
  <c r="E126" i="2"/>
  <c r="B72" i="2"/>
  <c r="B78" i="2" s="1"/>
  <c r="B82" i="2" s="1"/>
  <c r="B117" i="2"/>
  <c r="D119" i="2"/>
  <c r="E120" i="2"/>
  <c r="E124" i="2"/>
  <c r="F126" i="2"/>
  <c r="B128" i="2"/>
  <c r="B20" i="2"/>
  <c r="B121" i="2" s="1"/>
  <c r="C71" i="2"/>
  <c r="D72" i="2"/>
  <c r="D78" i="2" s="1"/>
  <c r="D117" i="2"/>
  <c r="E118" i="2"/>
  <c r="F119" i="2"/>
  <c r="G120" i="2"/>
  <c r="G124" i="2"/>
  <c r="D128" i="2"/>
  <c r="E152" i="2"/>
  <c r="E156" i="2" s="1"/>
  <c r="D71" i="2"/>
  <c r="E72" i="2"/>
  <c r="E78" i="2" s="1"/>
  <c r="D115" i="2"/>
  <c r="E117" i="2"/>
  <c r="F118" i="2"/>
  <c r="G119" i="2"/>
  <c r="E128" i="2"/>
  <c r="F152" i="2"/>
  <c r="F72" i="2"/>
  <c r="F78" i="2" s="1"/>
  <c r="E115" i="2"/>
  <c r="F117" i="2"/>
  <c r="G118" i="2"/>
  <c r="F128" i="2"/>
  <c r="G152" i="2"/>
  <c r="G156" i="2" s="1"/>
  <c r="G72" i="2"/>
  <c r="G78" i="2" s="1"/>
  <c r="F115" i="2"/>
  <c r="G117" i="2"/>
  <c r="O30" i="1"/>
  <c r="N30" i="1"/>
  <c r="E57" i="1"/>
  <c r="D57" i="1" s="1"/>
  <c r="E65" i="1"/>
  <c r="D65" i="1" s="1"/>
  <c r="G30" i="1"/>
  <c r="J8" i="1"/>
  <c r="M29" i="1"/>
  <c r="P29" i="1"/>
  <c r="Q8" i="1"/>
  <c r="L29" i="1"/>
  <c r="P8" i="1"/>
  <c r="H8" i="1"/>
  <c r="K29" i="1"/>
  <c r="L30" i="1"/>
  <c r="E50" i="1"/>
  <c r="D50" i="1" s="1"/>
  <c r="G8" i="1"/>
  <c r="F29" i="1"/>
  <c r="F74" i="1" s="1"/>
  <c r="J29" i="1"/>
  <c r="H29" i="1"/>
  <c r="E66" i="1"/>
  <c r="D66" i="1" s="1"/>
  <c r="O8" i="1"/>
  <c r="Q30" i="1"/>
  <c r="I30" i="1"/>
  <c r="E33" i="1"/>
  <c r="D33" i="1" s="1"/>
  <c r="E73" i="1"/>
  <c r="D73" i="1" s="1"/>
  <c r="E72" i="1"/>
  <c r="D72" i="1" s="1"/>
  <c r="E71" i="1"/>
  <c r="D71" i="1" s="1"/>
  <c r="E55" i="1"/>
  <c r="D55" i="1" s="1"/>
  <c r="E53" i="1"/>
  <c r="D53" i="1" s="1"/>
  <c r="E48" i="1"/>
  <c r="D48" i="1" s="1"/>
  <c r="Q29" i="1"/>
  <c r="I29" i="1"/>
  <c r="M30" i="1"/>
  <c r="O29" i="1"/>
  <c r="G29" i="1"/>
  <c r="K30" i="1"/>
  <c r="N29" i="1"/>
  <c r="N74" i="1" s="1"/>
  <c r="N75" i="1" s="1"/>
  <c r="F30" i="1"/>
  <c r="J30" i="1"/>
  <c r="E60" i="1"/>
  <c r="D60" i="1" s="1"/>
  <c r="E45" i="1"/>
  <c r="D45" i="1" s="1"/>
  <c r="E35" i="1"/>
  <c r="D35" i="1" s="1"/>
  <c r="I8" i="1"/>
  <c r="K8" i="1"/>
  <c r="E20" i="1"/>
  <c r="D20" i="1" s="1"/>
  <c r="E27" i="1"/>
  <c r="D27" i="1" s="1"/>
  <c r="M8" i="1"/>
  <c r="L8" i="1"/>
  <c r="E13" i="1"/>
  <c r="D13" i="1" s="1"/>
  <c r="E6" i="1"/>
  <c r="E17" i="1"/>
  <c r="D17" i="1" s="1"/>
  <c r="E12" i="1"/>
  <c r="D12" i="1" s="1"/>
  <c r="E18" i="1"/>
  <c r="D18" i="1" s="1"/>
  <c r="E19" i="1"/>
  <c r="D19" i="1" s="1"/>
  <c r="E16" i="1"/>
  <c r="D16" i="1" s="1"/>
  <c r="E15" i="1"/>
  <c r="D15" i="1" s="1"/>
  <c r="E11" i="1"/>
  <c r="E5" i="1"/>
  <c r="E4" i="1"/>
  <c r="D4" i="1" s="1"/>
  <c r="K74" i="1" l="1"/>
  <c r="K75" i="1" s="1"/>
  <c r="O74" i="1"/>
  <c r="O75" i="1" s="1"/>
  <c r="P74" i="1"/>
  <c r="P75" i="1" s="1"/>
  <c r="H74" i="1"/>
  <c r="H75" i="1" s="1"/>
  <c r="J74" i="1"/>
  <c r="J75" i="1" s="1"/>
  <c r="G74" i="1"/>
  <c r="G75" i="1" s="1"/>
  <c r="G76" i="1" s="1"/>
  <c r="Q74" i="1"/>
  <c r="Q75" i="1" s="1"/>
  <c r="M74" i="1"/>
  <c r="M75" i="1" s="1"/>
  <c r="L74" i="1"/>
  <c r="L75" i="1" s="1"/>
  <c r="I74" i="1"/>
  <c r="I75" i="1" s="1"/>
  <c r="F97" i="2"/>
  <c r="F107" i="2" s="1"/>
  <c r="G86" i="2"/>
  <c r="F66" i="2"/>
  <c r="H73" i="2"/>
  <c r="H79" i="2" s="1"/>
  <c r="G121" i="2"/>
  <c r="H74" i="2"/>
  <c r="H80" i="2" s="1"/>
  <c r="C76" i="2"/>
  <c r="H129" i="2"/>
  <c r="H142" i="2"/>
  <c r="F71" i="2"/>
  <c r="F76" i="2" s="1"/>
  <c r="G2" i="2"/>
  <c r="F77" i="2"/>
  <c r="C142" i="2"/>
  <c r="C129" i="2"/>
  <c r="D142" i="2"/>
  <c r="D108" i="2"/>
  <c r="D109" i="2"/>
  <c r="D66" i="2"/>
  <c r="E76" i="2"/>
  <c r="E142" i="2"/>
  <c r="E129" i="2"/>
  <c r="G129" i="2"/>
  <c r="G142" i="2"/>
  <c r="C121" i="2"/>
  <c r="C147" i="2" s="1"/>
  <c r="C158" i="2" s="1"/>
  <c r="D74" i="2"/>
  <c r="D80" i="2" s="1"/>
  <c r="D82" i="2" s="1"/>
  <c r="D73" i="2"/>
  <c r="D79" i="2" s="1"/>
  <c r="H135" i="2"/>
  <c r="E137" i="2"/>
  <c r="E147" i="2" s="1"/>
  <c r="E138" i="2"/>
  <c r="E139" i="2"/>
  <c r="E82" i="2"/>
  <c r="H130" i="2"/>
  <c r="D65" i="2"/>
  <c r="C113" i="2"/>
  <c r="C108" i="2"/>
  <c r="C109" i="2"/>
  <c r="F129" i="2"/>
  <c r="F142" i="2"/>
  <c r="B109" i="2"/>
  <c r="B108" i="2"/>
  <c r="E97" i="2"/>
  <c r="E107" i="2" s="1"/>
  <c r="E65" i="2" s="1"/>
  <c r="D11" i="1"/>
  <c r="E29" i="1"/>
  <c r="D29" i="1" s="1"/>
  <c r="E30" i="1"/>
  <c r="D30" i="1" s="1"/>
  <c r="E8" i="1"/>
  <c r="H76" i="1" l="1"/>
  <c r="I76" i="1" s="1"/>
  <c r="J76" i="1" s="1"/>
  <c r="K76" i="1" s="1"/>
  <c r="L76" i="1" s="1"/>
  <c r="M76" i="1" s="1"/>
  <c r="N76" i="1" s="1"/>
  <c r="O76" i="1" s="1"/>
  <c r="P76" i="1" s="1"/>
  <c r="Q76" i="1" s="1"/>
  <c r="C67" i="2"/>
  <c r="C200" i="2"/>
  <c r="C199" i="2"/>
  <c r="C198" i="2"/>
  <c r="C194" i="2"/>
  <c r="C201" i="2"/>
  <c r="C193" i="2"/>
  <c r="C202" i="2"/>
  <c r="C197" i="2"/>
  <c r="C189" i="2"/>
  <c r="C196" i="2"/>
  <c r="C192" i="2"/>
  <c r="F147" i="2"/>
  <c r="C191" i="2"/>
  <c r="G97" i="2"/>
  <c r="G107" i="2" s="1"/>
  <c r="H86" i="2"/>
  <c r="G66" i="2"/>
  <c r="F108" i="2"/>
  <c r="F109" i="2"/>
  <c r="F113" i="2" s="1"/>
  <c r="F65" i="2"/>
  <c r="D147" i="2"/>
  <c r="F138" i="2"/>
  <c r="F139" i="2"/>
  <c r="F137" i="2"/>
  <c r="F82" i="2"/>
  <c r="C195" i="2"/>
  <c r="C166" i="2"/>
  <c r="C172" i="2"/>
  <c r="C179" i="2" s="1"/>
  <c r="J76" i="2"/>
  <c r="G77" i="2"/>
  <c r="G71" i="2"/>
  <c r="G76" i="2" s="1"/>
  <c r="H2" i="2"/>
  <c r="C64" i="2"/>
  <c r="B190" i="2"/>
  <c r="E109" i="2"/>
  <c r="E108" i="2"/>
  <c r="E113" i="2"/>
  <c r="E158" i="2" s="1"/>
  <c r="E66" i="2"/>
  <c r="D76" i="2"/>
  <c r="B113" i="2"/>
  <c r="B158" i="2" s="1"/>
  <c r="C190" i="2"/>
  <c r="D113" i="2"/>
  <c r="E67" i="2" l="1"/>
  <c r="E199" i="2"/>
  <c r="E198" i="2"/>
  <c r="E200" i="2"/>
  <c r="E194" i="2"/>
  <c r="E201" i="2"/>
  <c r="E193" i="2"/>
  <c r="E192" i="2"/>
  <c r="E197" i="2"/>
  <c r="E196" i="2"/>
  <c r="E195" i="2"/>
  <c r="E172" i="2"/>
  <c r="E179" i="2" s="1"/>
  <c r="E166" i="2"/>
  <c r="E202" i="2"/>
  <c r="E191" i="2"/>
  <c r="E189" i="2"/>
  <c r="F158" i="2"/>
  <c r="F192" i="2" s="1"/>
  <c r="F190" i="2"/>
  <c r="F202" i="2"/>
  <c r="E64" i="2"/>
  <c r="D158" i="2"/>
  <c r="D166" i="2" s="1"/>
  <c r="E190" i="2"/>
  <c r="C168" i="2"/>
  <c r="C184" i="2"/>
  <c r="C185" i="2" s="1"/>
  <c r="C186" i="2" s="1"/>
  <c r="H97" i="2"/>
  <c r="H107" i="2" s="1"/>
  <c r="H66" i="2" s="1"/>
  <c r="C204" i="2"/>
  <c r="B200" i="2"/>
  <c r="B197" i="2"/>
  <c r="B191" i="2"/>
  <c r="B199" i="2"/>
  <c r="B198" i="2"/>
  <c r="B194" i="2"/>
  <c r="B196" i="2"/>
  <c r="B201" i="2"/>
  <c r="B193" i="2"/>
  <c r="B195" i="2"/>
  <c r="B189" i="2"/>
  <c r="B172" i="2"/>
  <c r="B179" i="2" s="1"/>
  <c r="B202" i="2"/>
  <c r="B192" i="2"/>
  <c r="B166" i="2"/>
  <c r="H77" i="2"/>
  <c r="H71" i="2"/>
  <c r="H76" i="2" s="1"/>
  <c r="G108" i="2"/>
  <c r="G109" i="2"/>
  <c r="G113" i="2"/>
  <c r="G65" i="2"/>
  <c r="G139" i="2"/>
  <c r="G82" i="2"/>
  <c r="G137" i="2"/>
  <c r="G138" i="2"/>
  <c r="D168" i="2" l="1"/>
  <c r="D184" i="2"/>
  <c r="D185" i="2" s="1"/>
  <c r="D172" i="2"/>
  <c r="D179" i="2" s="1"/>
  <c r="E184" i="2"/>
  <c r="E168" i="2"/>
  <c r="G190" i="2"/>
  <c r="H108" i="2"/>
  <c r="H109" i="2"/>
  <c r="H65" i="2"/>
  <c r="G147" i="2"/>
  <c r="G158" i="2" s="1"/>
  <c r="G202" i="2" s="1"/>
  <c r="D67" i="2"/>
  <c r="D200" i="2"/>
  <c r="D199" i="2"/>
  <c r="D198" i="2"/>
  <c r="D191" i="2"/>
  <c r="D201" i="2"/>
  <c r="D194" i="2"/>
  <c r="D193" i="2"/>
  <c r="D196" i="2"/>
  <c r="D195" i="2"/>
  <c r="D189" i="2"/>
  <c r="D192" i="2"/>
  <c r="D197" i="2"/>
  <c r="D202" i="2"/>
  <c r="D190" i="2"/>
  <c r="B204" i="2"/>
  <c r="D64" i="2"/>
  <c r="B168" i="2"/>
  <c r="B184" i="2"/>
  <c r="B185" i="2" s="1"/>
  <c r="B186" i="2" s="1"/>
  <c r="G192" i="2"/>
  <c r="F199" i="2"/>
  <c r="F67" i="2"/>
  <c r="F200" i="2"/>
  <c r="F197" i="2"/>
  <c r="F196" i="2"/>
  <c r="F201" i="2"/>
  <c r="F198" i="2"/>
  <c r="F194" i="2"/>
  <c r="F195" i="2"/>
  <c r="F193" i="2"/>
  <c r="F172" i="2"/>
  <c r="F179" i="2" s="1"/>
  <c r="F191" i="2"/>
  <c r="F166" i="2"/>
  <c r="F189" i="2"/>
  <c r="H82" i="2"/>
  <c r="H137" i="2"/>
  <c r="H138" i="2"/>
  <c r="H139" i="2"/>
  <c r="E204" i="2"/>
  <c r="F64" i="2"/>
  <c r="F204" i="2" l="1"/>
  <c r="E182" i="2"/>
  <c r="E185" i="2" s="1"/>
  <c r="D186" i="2"/>
  <c r="D204" i="2"/>
  <c r="G199" i="2"/>
  <c r="G67" i="2"/>
  <c r="G193" i="2"/>
  <c r="G198" i="2"/>
  <c r="G201" i="2"/>
  <c r="G194" i="2"/>
  <c r="G196" i="2"/>
  <c r="G200" i="2"/>
  <c r="G197" i="2"/>
  <c r="G195" i="2"/>
  <c r="G191" i="2"/>
  <c r="G189" i="2"/>
  <c r="G172" i="2"/>
  <c r="G179" i="2" s="1"/>
  <c r="G166" i="2"/>
  <c r="F184" i="2"/>
  <c r="F168" i="2"/>
  <c r="H147" i="2"/>
  <c r="H113" i="2"/>
  <c r="G64" i="2"/>
  <c r="H158" i="2" l="1"/>
  <c r="H64" i="2" s="1"/>
  <c r="G168" i="2"/>
  <c r="G184" i="2"/>
  <c r="E186" i="2"/>
  <c r="F182" i="2"/>
  <c r="F185" i="2" s="1"/>
  <c r="G204" i="2"/>
  <c r="H199" i="2" l="1"/>
  <c r="J199" i="2" s="1"/>
  <c r="H67" i="2"/>
  <c r="H198" i="2"/>
  <c r="J198" i="2" s="1"/>
  <c r="H195" i="2"/>
  <c r="J195" i="2" s="1"/>
  <c r="H197" i="2"/>
  <c r="J197" i="2" s="1"/>
  <c r="H201" i="2"/>
  <c r="J201" i="2" s="1"/>
  <c r="H196" i="2"/>
  <c r="J196" i="2" s="1"/>
  <c r="H193" i="2"/>
  <c r="J193" i="2" s="1"/>
  <c r="H200" i="2"/>
  <c r="J200" i="2" s="1"/>
  <c r="H191" i="2"/>
  <c r="J191" i="2" s="1"/>
  <c r="H194" i="2"/>
  <c r="J194" i="2" s="1"/>
  <c r="H166" i="2"/>
  <c r="H172" i="2"/>
  <c r="H179" i="2" s="1"/>
  <c r="H189" i="2"/>
  <c r="H192" i="2"/>
  <c r="J192" i="2" s="1"/>
  <c r="H190" i="2"/>
  <c r="J190" i="2" s="1"/>
  <c r="H202" i="2"/>
  <c r="J202" i="2" s="1"/>
  <c r="F186" i="2"/>
  <c r="G182" i="2"/>
  <c r="G185" i="2" s="1"/>
  <c r="H204" i="2" l="1"/>
  <c r="J189" i="2"/>
  <c r="J204" i="2" s="1"/>
  <c r="H184" i="2"/>
  <c r="H168" i="2"/>
  <c r="G186" i="2"/>
  <c r="H182" i="2"/>
  <c r="H185" i="2" s="1"/>
  <c r="H186" i="2" s="1"/>
  <c r="E44" i="1" l="1"/>
  <c r="E51" i="1"/>
  <c r="D51" i="1" s="1"/>
  <c r="D44" i="1" l="1"/>
  <c r="D74" i="1" s="1"/>
  <c r="E74" i="1"/>
</calcChain>
</file>

<file path=xl/comments1.xml><?xml version="1.0" encoding="utf-8"?>
<comments xmlns="http://schemas.openxmlformats.org/spreadsheetml/2006/main">
  <authors>
    <author>Matt Padron</author>
  </authors>
  <commentList>
    <comment ref="C161" authorId="0" shapeId="0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1625 East Carey Avenue, North Las Vegas, NV 89030</t>
        </r>
      </text>
    </comment>
  </commentList>
</comments>
</file>

<file path=xl/sharedStrings.xml><?xml version="1.0" encoding="utf-8"?>
<sst xmlns="http://schemas.openxmlformats.org/spreadsheetml/2006/main" count="297" uniqueCount="207">
  <si>
    <t xml:space="preserve"> Budget Revenue</t>
  </si>
  <si>
    <t>NSLP</t>
  </si>
  <si>
    <t>GATE</t>
  </si>
  <si>
    <t>Special Ed Funding (Part B)</t>
  </si>
  <si>
    <t>SPED Discretionary Unit</t>
  </si>
  <si>
    <t xml:space="preserve">Total Revenues </t>
  </si>
  <si>
    <t>EXPENSES</t>
  </si>
  <si>
    <t>Personnel Costs</t>
  </si>
  <si>
    <t>Principal</t>
  </si>
  <si>
    <t>Assistant Principal(s)</t>
  </si>
  <si>
    <t>Curriculum Coach</t>
  </si>
  <si>
    <t>105/106</t>
  </si>
  <si>
    <t>Counselor / Student Support Advocate/Dean</t>
  </si>
  <si>
    <t>101 /103</t>
  </si>
  <si>
    <t xml:space="preserve">Teachers Salaries </t>
  </si>
  <si>
    <t>SPED Teachers</t>
  </si>
  <si>
    <t>Office Manager/ Registrar / Banker</t>
  </si>
  <si>
    <t>Secretary &amp; FASA</t>
  </si>
  <si>
    <t>Teacher Assistants (including SPED)</t>
  </si>
  <si>
    <t>Campus Monitors</t>
  </si>
  <si>
    <t>Cafeteria Manager</t>
  </si>
  <si>
    <t xml:space="preserve">Unrestricted Salaries </t>
  </si>
  <si>
    <t>Restricted Salaries</t>
  </si>
  <si>
    <t>SPED Facilitator</t>
  </si>
  <si>
    <t>Speech Pathologist</t>
  </si>
  <si>
    <t>School Psychologist</t>
  </si>
  <si>
    <t>School Nurse</t>
  </si>
  <si>
    <t xml:space="preserve">OT </t>
  </si>
  <si>
    <t>Cafeteria Manager - NSLP</t>
  </si>
  <si>
    <t>On Campus Sub</t>
  </si>
  <si>
    <t>Total Salaries and Wages</t>
  </si>
  <si>
    <t>PERS - 29.25%</t>
  </si>
  <si>
    <t xml:space="preserve">Insurances/Employment Taxes/Other Benefits </t>
  </si>
  <si>
    <t>Incentives / Bonuses</t>
  </si>
  <si>
    <t>Tuition Reimbursements</t>
  </si>
  <si>
    <t>Subst. Teachers (10 days/Teacher)</t>
  </si>
  <si>
    <t>Total Payroll / Benefits and Related</t>
  </si>
  <si>
    <t>Supplies</t>
  </si>
  <si>
    <t xml:space="preserve">Consumables </t>
  </si>
  <si>
    <t>Zion's FFE Lease - payments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</si>
  <si>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</si>
  <si>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</si>
  <si>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</si>
  <si>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</si>
  <si>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</si>
  <si>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</si>
  <si>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>Data Analysts</t>
  </si>
  <si>
    <t>Special Education Contracted Services</t>
  </si>
  <si>
    <t>Management Fee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</si>
  <si>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</si>
  <si>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</si>
  <si>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</si>
  <si>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</si>
  <si>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</si>
  <si>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</si>
  <si>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>Affiliation Fee - Inc. (1/2 of 1%)</t>
  </si>
  <si>
    <t>Affiliation Fee - Professional Development (1/2 of 1%)</t>
  </si>
  <si>
    <t>Telephone</t>
  </si>
  <si>
    <t>Internet</t>
  </si>
  <si>
    <t>Postage</t>
  </si>
  <si>
    <t>Website</t>
  </si>
  <si>
    <t>Copier / Printing</t>
  </si>
  <si>
    <t>Infinite Campus</t>
  </si>
  <si>
    <t>Other</t>
  </si>
  <si>
    <t>Lunch Program-NSLP</t>
  </si>
  <si>
    <t xml:space="preserve">Travel </t>
  </si>
  <si>
    <t>Background and Fingerprinting</t>
  </si>
  <si>
    <t>Dues and Fees</t>
  </si>
  <si>
    <t>Other Purchases</t>
  </si>
  <si>
    <t>Facilities</t>
  </si>
  <si>
    <t>Public Utilities</t>
  </si>
  <si>
    <t>Fire and Security alarms</t>
  </si>
  <si>
    <t>Contracted Janitorial Services</t>
  </si>
  <si>
    <t>Custodial Supplies</t>
  </si>
  <si>
    <t>430/431</t>
  </si>
  <si>
    <t>Facility Maintenance/Repairs/Capital Outlay</t>
  </si>
  <si>
    <t>Lawn Care</t>
  </si>
  <si>
    <t>AC Maintenance &amp; Repair</t>
  </si>
  <si>
    <t>Total Expenses Before Bldg</t>
  </si>
  <si>
    <t>Surplus (Revenues-Total Expenses-Lease-Bond)</t>
  </si>
  <si>
    <t>Nov</t>
  </si>
  <si>
    <t>Aug</t>
  </si>
  <si>
    <t>Sept</t>
  </si>
  <si>
    <t>Oct</t>
  </si>
  <si>
    <t>Dec</t>
  </si>
  <si>
    <t>Jan</t>
  </si>
  <si>
    <t>Feb</t>
  </si>
  <si>
    <t>Mar</t>
  </si>
  <si>
    <t>Apr</t>
  </si>
  <si>
    <t>May</t>
  </si>
  <si>
    <t>Jun</t>
  </si>
  <si>
    <t>Jul</t>
  </si>
  <si>
    <t>Scheduled Lease Payment</t>
  </si>
  <si>
    <t>REVENUE (@ 98.5%)</t>
  </si>
  <si>
    <t>Special Ed Funding (Part B/IDEA)</t>
  </si>
  <si>
    <t>Insurnance</t>
  </si>
  <si>
    <t>521/22/23</t>
  </si>
  <si>
    <t>Loan Payments</t>
  </si>
  <si>
    <t>Cash Flow (negative)</t>
  </si>
  <si>
    <t>Cumulative (negative)</t>
  </si>
  <si>
    <t>CIVICA NV</t>
  </si>
  <si>
    <t>20-21 (Pre-Op)</t>
  </si>
  <si>
    <t>21-22</t>
  </si>
  <si>
    <t>22-23</t>
  </si>
  <si>
    <t>23-24</t>
  </si>
  <si>
    <t>24-25</t>
  </si>
  <si>
    <t>25-26</t>
  </si>
  <si>
    <t>26-27</t>
  </si>
  <si>
    <t>WFTE Gross Value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</si>
  <si>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</si>
  <si>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</si>
  <si>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</si>
  <si>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</si>
  <si>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</si>
  <si>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</si>
  <si>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</si>
  <si>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</si>
  <si>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</si>
  <si>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</si>
  <si>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</si>
  <si>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</si>
  <si>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</si>
  <si>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</si>
  <si>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Prior Year Numbers</t>
  </si>
  <si>
    <t>SPED</t>
  </si>
  <si>
    <t>FRL %</t>
  </si>
  <si>
    <t>TEACHING STAFF</t>
  </si>
  <si>
    <t>Classroom Teachers</t>
  </si>
  <si>
    <t>Art Teacher</t>
  </si>
  <si>
    <t>Music</t>
  </si>
  <si>
    <t>PE Teacher</t>
  </si>
  <si>
    <t xml:space="preserve">Dance </t>
  </si>
  <si>
    <t>Technology (STEM)</t>
  </si>
  <si>
    <t>Additional Core</t>
  </si>
  <si>
    <t>Spanish / Language</t>
  </si>
  <si>
    <t>Additional Elective Teachers</t>
  </si>
  <si>
    <t xml:space="preserve">     Total Teaching Staff</t>
  </si>
  <si>
    <t>ADMIN &amp; SUPPORT</t>
  </si>
  <si>
    <t>Executive Director &amp; Assistant</t>
  </si>
  <si>
    <t>Assistant Principal</t>
  </si>
  <si>
    <t>ELL Coordinator</t>
  </si>
  <si>
    <t>Counselor/ Student Support Advocate</t>
  </si>
  <si>
    <t>Office Manager</t>
  </si>
  <si>
    <t>Registrar</t>
  </si>
  <si>
    <t>Clinic Aide/ FASA</t>
  </si>
  <si>
    <t>Receptionist</t>
  </si>
  <si>
    <t>Teacher Assistants (Including SPED)</t>
  </si>
  <si>
    <t>Campus Monitor/Custodian</t>
  </si>
  <si>
    <t>NSLP/Cafeterial Manager</t>
  </si>
  <si>
    <t>Gate Teacher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</si>
  <si>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</si>
  <si>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</si>
  <si>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</si>
  <si>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</si>
  <si>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</si>
  <si>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</si>
  <si>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</si>
  <si>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Expenses</t>
  </si>
  <si>
    <t>REVENUE (@ 98.50%)</t>
  </si>
  <si>
    <t>National School Lunch Program (NSLP)</t>
  </si>
  <si>
    <t xml:space="preserve"> </t>
  </si>
  <si>
    <t>Other: Pre-Operational Loan</t>
  </si>
  <si>
    <t>Actual Revenue</t>
  </si>
  <si>
    <t xml:space="preserve"> Special Ed Funding (Part B)</t>
  </si>
  <si>
    <t xml:space="preserve">Other: </t>
  </si>
  <si>
    <t>Total Actual Revenues:</t>
  </si>
  <si>
    <t>NSLP Manager</t>
  </si>
  <si>
    <t>PERS  - 29.25%</t>
  </si>
  <si>
    <t>Operations</t>
  </si>
  <si>
    <t>Athletics</t>
  </si>
  <si>
    <t>Travel / Prof. Dev. / Recruiting</t>
  </si>
  <si>
    <t>Contracted Data Services</t>
  </si>
  <si>
    <t>IT Services - Monthly</t>
  </si>
  <si>
    <t>State Administrative Fee (1.25%)</t>
  </si>
  <si>
    <t>Phone and Communications (with E-rate discount)</t>
  </si>
  <si>
    <t xml:space="preserve">Facility and School Insurances  </t>
  </si>
  <si>
    <t>Marketing/Advertising</t>
  </si>
  <si>
    <t>Total</t>
  </si>
  <si>
    <t>Contracted Janitorial</t>
  </si>
  <si>
    <t>Facility Maintenance / Repairs / Capital Outlay</t>
  </si>
  <si>
    <t>Total Expenses</t>
  </si>
  <si>
    <t>Anticipted Bond Payment</t>
  </si>
  <si>
    <t>Addition</t>
  </si>
  <si>
    <t>Adjusted Net Income Available Before Lease and Debt Service</t>
  </si>
  <si>
    <t>Bond Payments</t>
  </si>
  <si>
    <t>Bond Payments 2019</t>
  </si>
  <si>
    <t xml:space="preserve">Annual Facility Lease Payments </t>
  </si>
  <si>
    <t>Total Lease Payments &amp; Net Debt Service</t>
  </si>
  <si>
    <t xml:space="preserve">Annual Debt Service Coverage </t>
  </si>
  <si>
    <t>Days Cash on Hand Calculation</t>
  </si>
  <si>
    <t xml:space="preserve">Projected Beginning Cash Balance </t>
  </si>
  <si>
    <t>Accounts Receivable</t>
  </si>
  <si>
    <t>Plus:  Operating Surplus</t>
  </si>
  <si>
    <t>Ending Cash Balance</t>
  </si>
  <si>
    <t>Projected Days Cash on Hand</t>
  </si>
  <si>
    <t>Personnel</t>
  </si>
  <si>
    <t>Benefits</t>
  </si>
  <si>
    <t>Contractual</t>
  </si>
  <si>
    <t>Contracted Services</t>
  </si>
  <si>
    <t>Equipment</t>
  </si>
  <si>
    <t>Facility</t>
  </si>
  <si>
    <t>Travel</t>
  </si>
  <si>
    <t>Accounting, Audit, &amp; Legal Fees</t>
  </si>
  <si>
    <t>Technology</t>
  </si>
  <si>
    <t>Budget</t>
  </si>
  <si>
    <t>Difference</t>
  </si>
  <si>
    <t>**The difference between the Net Income of $3,572 and the June 30th cash flow of $148,851 is due to teachers being paid over 12 months. The remaining $145,279 is salaries and benefits that would be paid out in the next fiscal year in July.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</si>
</sst>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0" fillId="4" borderId="6" xfId="0" applyFont="1" applyFill="1" applyBorder="1"/>
    <xf numFmtId="0" fontId="0" fillId="0" borderId="0" xfId="0" applyFont="1" applyBorder="1"/>
    <xf numFmtId="0" fontId="6" fillId="0" borderId="1" xfId="0" applyFont="1" applyFill="1" applyBorder="1"/>
    <xf numFmtId="0" fontId="8" fillId="3" borderId="7" xfId="0" applyFont="1" applyFill="1" applyBorder="1"/>
    <xf numFmtId="0" fontId="6" fillId="0" borderId="1" xfId="0" applyFont="1" applyFill="1" applyBorder="1" applyAlignment="1">
      <alignment horizontal="left"/>
    </xf>
    <xf numFmtId="164" fontId="0" fillId="0" borderId="0" xfId="1" applyNumberFormat="1" applyFont="1"/>
    <xf numFmtId="164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left"/>
    </xf>
    <xf numFmtId="164" fontId="10" fillId="4" borderId="1" xfId="1" applyNumberFormat="1" applyFont="1" applyFill="1" applyBorder="1"/>
    <xf numFmtId="0" fontId="6" fillId="0" borderId="1" xfId="0" applyFont="1" applyBorder="1"/>
    <xf numFmtId="0" fontId="4" fillId="6" borderId="1" xfId="0" applyFont="1" applyFill="1" applyBorder="1" applyAlignment="1">
      <alignment horizontal="center"/>
    </xf>
    <xf numFmtId="0" fontId="5" fillId="6" borderId="7" xfId="0" applyFont="1" applyFill="1" applyBorder="1"/>
    <xf numFmtId="0" fontId="4" fillId="7" borderId="3" xfId="0" applyFont="1" applyFill="1" applyBorder="1" applyAlignment="1">
      <alignment horizontal="center"/>
    </xf>
    <xf numFmtId="164" fontId="7" fillId="7" borderId="1" xfId="1" applyNumberFormat="1" applyFont="1" applyFill="1" applyBorder="1"/>
    <xf numFmtId="164" fontId="0" fillId="0" borderId="1" xfId="1" applyNumberFormat="1" applyFont="1" applyBorder="1"/>
    <xf numFmtId="164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1" xfId="0" applyNumberFormat="1" applyBorder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horizontal="right"/>
    </xf>
    <xf numFmtId="165" fontId="6" fillId="0" borderId="10" xfId="2" applyNumberFormat="1" applyFont="1" applyFill="1" applyBorder="1"/>
    <xf numFmtId="165" fontId="6" fillId="0" borderId="11" xfId="2" applyNumberFormat="1" applyFont="1" applyFill="1" applyBorder="1"/>
    <xf numFmtId="0" fontId="6" fillId="0" borderId="12" xfId="2" applyNumberFormat="1" applyFont="1" applyFill="1" applyBorder="1" applyAlignment="1">
      <alignment horizontal="right"/>
    </xf>
    <xf numFmtId="164" fontId="6" fillId="0" borderId="13" xfId="0" applyNumberFormat="1" applyFont="1" applyBorder="1"/>
    <xf numFmtId="164" fontId="6" fillId="0" borderId="14" xfId="0" applyNumberFormat="1" applyFont="1" applyBorder="1"/>
    <xf numFmtId="164" fontId="0" fillId="0" borderId="0" xfId="0" applyNumberFormat="1" applyFont="1"/>
    <xf numFmtId="0" fontId="2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164" fontId="6" fillId="0" borderId="16" xfId="0" applyNumberFormat="1" applyFont="1" applyBorder="1"/>
    <xf numFmtId="164" fontId="6" fillId="0" borderId="17" xfId="0" applyNumberFormat="1" applyFont="1" applyBorder="1"/>
    <xf numFmtId="43" fontId="0" fillId="0" borderId="0" xfId="0" applyNumberFormat="1" applyFont="1"/>
    <xf numFmtId="43" fontId="0" fillId="0" borderId="0" xfId="0" applyNumberFormat="1" applyFont="1" applyAlignment="1">
      <alignment horizontal="center"/>
    </xf>
    <xf numFmtId="0" fontId="6" fillId="0" borderId="15" xfId="2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43" fontId="2" fillId="0" borderId="0" xfId="0" applyNumberFormat="1" applyFont="1"/>
    <xf numFmtId="164" fontId="6" fillId="0" borderId="16" xfId="1" applyNumberFormat="1" applyFont="1" applyBorder="1"/>
    <xf numFmtId="164" fontId="6" fillId="0" borderId="17" xfId="1" applyNumberFormat="1" applyFont="1" applyBorder="1"/>
    <xf numFmtId="0" fontId="0" fillId="0" borderId="12" xfId="0" applyFont="1" applyFill="1" applyBorder="1" applyAlignment="1">
      <alignment horizontal="right"/>
    </xf>
    <xf numFmtId="164" fontId="6" fillId="0" borderId="13" xfId="1" applyNumberFormat="1" applyFont="1" applyBorder="1"/>
    <xf numFmtId="164" fontId="6" fillId="0" borderId="14" xfId="1" applyNumberFormat="1" applyFont="1" applyBorder="1"/>
    <xf numFmtId="0" fontId="5" fillId="9" borderId="15" xfId="0" applyFont="1" applyFill="1" applyBorder="1"/>
    <xf numFmtId="3" fontId="5" fillId="9" borderId="16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6" fontId="0" fillId="0" borderId="0" xfId="0" applyNumberFormat="1" applyFont="1"/>
    <xf numFmtId="9" fontId="9" fillId="0" borderId="14" xfId="3" applyFont="1" applyBorder="1" applyAlignment="1">
      <alignment horizontal="right"/>
    </xf>
    <xf numFmtId="9" fontId="9" fillId="0" borderId="13" xfId="3" applyFont="1" applyBorder="1" applyAlignment="1">
      <alignment horizontal="right"/>
    </xf>
    <xf numFmtId="0" fontId="3" fillId="0" borderId="12" xfId="0" applyFont="1" applyBorder="1"/>
    <xf numFmtId="0" fontId="3" fillId="0" borderId="18" xfId="0" applyFont="1" applyBorder="1"/>
    <xf numFmtId="0" fontId="3" fillId="0" borderId="19" xfId="0" applyFont="1" applyBorder="1"/>
    <xf numFmtId="0" fontId="6" fillId="0" borderId="12" xfId="0" applyFont="1" applyFill="1" applyBorder="1" applyProtection="1">
      <protection locked="0"/>
    </xf>
    <xf numFmtId="37" fontId="6" fillId="0" borderId="13" xfId="0" applyNumberFormat="1" applyFont="1" applyFill="1" applyBorder="1" applyAlignment="1" applyProtection="1">
      <alignment horizontal="center" vertical="center"/>
      <protection locked="0"/>
    </xf>
    <xf numFmtId="37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67" fontId="6" fillId="0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/>
    <xf numFmtId="0" fontId="6" fillId="0" borderId="1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/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6" fillId="0" borderId="12" xfId="0" applyFont="1" applyFill="1" applyBorder="1" applyAlignment="1" applyProtection="1">
      <alignment wrapText="1"/>
      <protection locked="0"/>
    </xf>
    <xf numFmtId="167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/>
    <xf numFmtId="0" fontId="11" fillId="0" borderId="12" xfId="0" applyFont="1" applyFill="1" applyBorder="1" applyProtection="1"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10" borderId="12" xfId="0" applyFont="1" applyFill="1" applyBorder="1"/>
    <xf numFmtId="0" fontId="6" fillId="10" borderId="16" xfId="0" applyFont="1" applyFill="1" applyBorder="1"/>
    <xf numFmtId="0" fontId="6" fillId="10" borderId="17" xfId="0" applyFont="1" applyFill="1" applyBorder="1"/>
    <xf numFmtId="0" fontId="5" fillId="10" borderId="15" xfId="0" applyFont="1" applyFill="1" applyBorder="1"/>
    <xf numFmtId="2" fontId="6" fillId="10" borderId="16" xfId="0" applyNumberFormat="1" applyFont="1" applyFill="1" applyBorder="1" applyAlignment="1">
      <alignment horizontal="center"/>
    </xf>
    <xf numFmtId="2" fontId="6" fillId="10" borderId="17" xfId="0" applyNumberFormat="1" applyFont="1" applyFill="1" applyBorder="1" applyAlignment="1">
      <alignment horizontal="center"/>
    </xf>
    <xf numFmtId="0" fontId="5" fillId="10" borderId="20" xfId="0" applyFont="1" applyFill="1" applyBorder="1"/>
    <xf numFmtId="2" fontId="6" fillId="10" borderId="21" xfId="0" applyNumberFormat="1" applyFont="1" applyFill="1" applyBorder="1" applyAlignment="1">
      <alignment horizontal="center"/>
    </xf>
    <xf numFmtId="2" fontId="6" fillId="10" borderId="22" xfId="0" applyNumberFormat="1" applyFont="1" applyFill="1" applyBorder="1" applyAlignment="1">
      <alignment horizontal="center"/>
    </xf>
    <xf numFmtId="0" fontId="5" fillId="10" borderId="23" xfId="0" applyFont="1" applyFill="1" applyBorder="1"/>
    <xf numFmtId="2" fontId="6" fillId="10" borderId="24" xfId="0" applyNumberFormat="1" applyFont="1" applyFill="1" applyBorder="1" applyAlignment="1">
      <alignment horizontal="center"/>
    </xf>
    <xf numFmtId="2" fontId="6" fillId="10" borderId="25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5" fillId="0" borderId="23" xfId="0" applyFont="1" applyFill="1" applyBorder="1"/>
    <xf numFmtId="10" fontId="6" fillId="0" borderId="18" xfId="3" applyNumberFormat="1" applyFont="1" applyFill="1" applyBorder="1" applyAlignment="1">
      <alignment horizontal="center"/>
    </xf>
    <xf numFmtId="10" fontId="6" fillId="0" borderId="19" xfId="3" applyNumberFormat="1" applyFont="1" applyFill="1" applyBorder="1" applyAlignment="1">
      <alignment horizontal="center"/>
    </xf>
    <xf numFmtId="10" fontId="6" fillId="0" borderId="13" xfId="3" applyNumberFormat="1" applyFont="1" applyFill="1" applyBorder="1" applyAlignment="1">
      <alignment horizontal="center"/>
    </xf>
    <xf numFmtId="10" fontId="6" fillId="0" borderId="14" xfId="3" applyNumberFormat="1" applyFont="1" applyFill="1" applyBorder="1" applyAlignment="1">
      <alignment horizontal="center"/>
    </xf>
    <xf numFmtId="0" fontId="9" fillId="0" borderId="23" xfId="0" applyFont="1" applyFill="1" applyBorder="1"/>
    <xf numFmtId="0" fontId="6" fillId="0" borderId="18" xfId="0" applyFont="1" applyFill="1" applyBorder="1"/>
    <xf numFmtId="0" fontId="6" fillId="0" borderId="19" xfId="0" applyFont="1" applyFill="1" applyBorder="1"/>
    <xf numFmtId="0" fontId="0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26" xfId="0" applyFont="1" applyFill="1" applyBorder="1"/>
    <xf numFmtId="164" fontId="6" fillId="0" borderId="13" xfId="1" applyNumberFormat="1" applyFont="1" applyFill="1" applyBorder="1"/>
    <xf numFmtId="164" fontId="6" fillId="0" borderId="14" xfId="1" applyNumberFormat="1" applyFont="1" applyFill="1" applyBorder="1"/>
    <xf numFmtId="164" fontId="6" fillId="0" borderId="0" xfId="1" applyNumberFormat="1" applyFont="1" applyFill="1" applyBorder="1"/>
    <xf numFmtId="0" fontId="6" fillId="0" borderId="23" xfId="0" applyFont="1" applyFill="1" applyBorder="1"/>
    <xf numFmtId="0" fontId="8" fillId="0" borderId="15" xfId="0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0" fontId="8" fillId="9" borderId="15" xfId="0" applyFont="1" applyFill="1" applyBorder="1"/>
    <xf numFmtId="0" fontId="5" fillId="9" borderId="16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64" fontId="6" fillId="11" borderId="14" xfId="1" applyNumberFormat="1" applyFont="1" applyFill="1" applyBorder="1"/>
    <xf numFmtId="0" fontId="5" fillId="3" borderId="12" xfId="0" applyFont="1" applyFill="1" applyBorder="1"/>
    <xf numFmtId="164" fontId="5" fillId="3" borderId="13" xfId="1" applyNumberFormat="1" applyFont="1" applyFill="1" applyBorder="1"/>
    <xf numFmtId="164" fontId="5" fillId="3" borderId="14" xfId="1" applyNumberFormat="1" applyFont="1" applyFill="1" applyBorder="1"/>
    <xf numFmtId="164" fontId="6" fillId="3" borderId="13" xfId="1" applyNumberFormat="1" applyFont="1" applyFill="1" applyBorder="1"/>
    <xf numFmtId="164" fontId="6" fillId="3" borderId="14" xfId="1" applyNumberFormat="1" applyFont="1" applyFill="1" applyBorder="1"/>
    <xf numFmtId="9" fontId="0" fillId="0" borderId="0" xfId="3" applyFont="1"/>
    <xf numFmtId="0" fontId="5" fillId="3" borderId="15" xfId="0" applyFont="1" applyFill="1" applyBorder="1" applyAlignment="1">
      <alignment horizontal="right"/>
    </xf>
    <xf numFmtId="164" fontId="5" fillId="3" borderId="16" xfId="1" applyNumberFormat="1" applyFont="1" applyFill="1" applyBorder="1"/>
    <xf numFmtId="164" fontId="5" fillId="12" borderId="17" xfId="1" applyNumberFormat="1" applyFont="1" applyFill="1" applyBorder="1"/>
    <xf numFmtId="164" fontId="5" fillId="3" borderId="17" xfId="1" applyNumberFormat="1" applyFont="1" applyFill="1" applyBorder="1"/>
    <xf numFmtId="164" fontId="6" fillId="13" borderId="14" xfId="1" applyNumberFormat="1" applyFont="1" applyFill="1" applyBorder="1"/>
    <xf numFmtId="0" fontId="8" fillId="0" borderId="15" xfId="0" applyFont="1" applyFill="1" applyBorder="1" applyAlignment="1">
      <alignment horizontal="right"/>
    </xf>
    <xf numFmtId="0" fontId="8" fillId="9" borderId="12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6" fillId="9" borderId="14" xfId="1" applyNumberFormat="1" applyFont="1" applyFill="1" applyBorder="1"/>
    <xf numFmtId="0" fontId="8" fillId="9" borderId="15" xfId="0" applyFont="1" applyFill="1" applyBorder="1" applyAlignment="1">
      <alignment horizontal="left"/>
    </xf>
    <xf numFmtId="0" fontId="5" fillId="9" borderId="18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6" fillId="0" borderId="21" xfId="0" applyFont="1" applyBorder="1"/>
    <xf numFmtId="0" fontId="6" fillId="0" borderId="22" xfId="0" applyFont="1" applyBorder="1"/>
    <xf numFmtId="0" fontId="8" fillId="0" borderId="8" xfId="0" applyFont="1" applyFill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8" fillId="0" borderId="12" xfId="0" applyFont="1" applyFill="1" applyBorder="1"/>
    <xf numFmtId="0" fontId="0" fillId="0" borderId="9" xfId="0" applyFont="1" applyBorder="1"/>
    <xf numFmtId="0" fontId="8" fillId="0" borderId="12" xfId="0" applyFont="1" applyBorder="1"/>
    <xf numFmtId="0" fontId="0" fillId="0" borderId="27" xfId="0" applyFont="1" applyBorder="1"/>
    <xf numFmtId="0" fontId="8" fillId="0" borderId="12" xfId="0" applyFont="1" applyBorder="1" applyAlignment="1">
      <alignment wrapText="1"/>
    </xf>
    <xf numFmtId="168" fontId="6" fillId="0" borderId="0" xfId="3" applyNumberFormat="1" applyFont="1" applyBorder="1"/>
    <xf numFmtId="0" fontId="2" fillId="0" borderId="0" xfId="0" applyFont="1" applyBorder="1" applyAlignment="1">
      <alignment horizontal="center"/>
    </xf>
    <xf numFmtId="0" fontId="2" fillId="8" borderId="28" xfId="0" applyFont="1" applyFill="1" applyBorder="1"/>
    <xf numFmtId="164" fontId="6" fillId="8" borderId="28" xfId="0" applyNumberFormat="1" applyFont="1" applyFill="1" applyBorder="1"/>
    <xf numFmtId="0" fontId="0" fillId="0" borderId="0" xfId="0" applyFont="1" applyFill="1"/>
    <xf numFmtId="164" fontId="6" fillId="0" borderId="0" xfId="1" applyNumberFormat="1" applyFont="1" applyBorder="1"/>
    <xf numFmtId="0" fontId="0" fillId="0" borderId="0" xfId="0" applyFont="1" applyFill="1" applyBorder="1"/>
    <xf numFmtId="0" fontId="2" fillId="13" borderId="28" xfId="0" applyFont="1" applyFill="1" applyBorder="1"/>
    <xf numFmtId="164" fontId="6" fillId="13" borderId="28" xfId="1" applyNumberFormat="1" applyFont="1" applyFill="1" applyBorder="1"/>
    <xf numFmtId="43" fontId="5" fillId="8" borderId="28" xfId="1" applyFont="1" applyFill="1" applyBorder="1"/>
    <xf numFmtId="0" fontId="2" fillId="5" borderId="28" xfId="0" applyFont="1" applyFill="1" applyBorder="1" applyAlignment="1"/>
    <xf numFmtId="41" fontId="6" fillId="14" borderId="0" xfId="0" applyNumberFormat="1" applyFont="1" applyFill="1" applyBorder="1"/>
    <xf numFmtId="41" fontId="6" fillId="2" borderId="0" xfId="0" applyNumberFormat="1" applyFont="1" applyFill="1" applyBorder="1"/>
    <xf numFmtId="0" fontId="6" fillId="0" borderId="0" xfId="0" applyFont="1" applyBorder="1"/>
    <xf numFmtId="43" fontId="6" fillId="2" borderId="0" xfId="0" applyNumberFormat="1" applyFont="1" applyFill="1" applyBorder="1"/>
    <xf numFmtId="0" fontId="1" fillId="5" borderId="28" xfId="0" applyFont="1" applyFill="1" applyBorder="1"/>
    <xf numFmtId="164" fontId="4" fillId="5" borderId="28" xfId="1" applyNumberFormat="1" applyFont="1" applyFill="1" applyBorder="1"/>
    <xf numFmtId="10" fontId="0" fillId="0" borderId="0" xfId="3" applyNumberFormat="1" applyFont="1"/>
    <xf numFmtId="10" fontId="0" fillId="0" borderId="0" xfId="0" applyNumberFormat="1" applyFont="1"/>
    <xf numFmtId="10" fontId="0" fillId="0" borderId="0" xfId="0" applyNumberFormat="1"/>
    <xf numFmtId="164" fontId="5" fillId="6" borderId="1" xfId="1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7" fillId="7" borderId="27" xfId="0" applyFont="1" applyFill="1" applyBorder="1"/>
    <xf numFmtId="164" fontId="0" fillId="0" borderId="0" xfId="0" applyNumberFormat="1" applyBorder="1"/>
    <xf numFmtId="0" fontId="14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8"/>
  <sheetViews>
    <sheetView tabSelected="1" topLeftCell="B45" workbookViewId="0">
      <selection activeCell="B78" sqref="B78:P78"/>
    </sheetView>
  </sheetViews>
  <sheetFormatPr defaultRowHeight="14.5" x14ac:dyDescent="0.35"/>
  <cols>
    <col min="1" max="1" width="10.54296875" hidden="1" customWidth="1"/>
    <col min="2" max="2" width="39.36328125" customWidth="1"/>
    <col min="3" max="3" width="13.54296875" style="14" customWidth="1"/>
    <col min="4" max="5" width="13.54296875" customWidth="1"/>
    <col min="6" max="6" width="9.26953125" bestFit="1" customWidth="1"/>
    <col min="7" max="16" width="10.08984375" bestFit="1" customWidth="1"/>
    <col min="17" max="17" width="9.1796875" bestFit="1" customWidth="1"/>
  </cols>
  <sheetData>
    <row r="2" spans="1:17" x14ac:dyDescent="0.35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35">
      <c r="A3" s="19"/>
      <c r="B3" s="20" t="s">
        <v>93</v>
      </c>
      <c r="C3" s="175" t="s">
        <v>204</v>
      </c>
      <c r="D3" s="176" t="s">
        <v>205</v>
      </c>
      <c r="E3" s="176" t="s">
        <v>177</v>
      </c>
      <c r="F3" s="179" t="s">
        <v>91</v>
      </c>
      <c r="G3" s="179" t="s">
        <v>81</v>
      </c>
      <c r="H3" s="179" t="s">
        <v>82</v>
      </c>
      <c r="I3" s="179" t="s">
        <v>83</v>
      </c>
      <c r="J3" s="179" t="s">
        <v>80</v>
      </c>
      <c r="K3" s="179" t="s">
        <v>84</v>
      </c>
      <c r="L3" s="179" t="s">
        <v>85</v>
      </c>
      <c r="M3" s="179" t="s">
        <v>86</v>
      </c>
      <c r="N3" s="179" t="s">
        <v>87</v>
      </c>
      <c r="O3" s="179" t="s">
        <v>88</v>
      </c>
      <c r="P3" s="179" t="s">
        <v>89</v>
      </c>
      <c r="Q3" s="179" t="s">
        <v>90</v>
      </c>
    </row>
    <row r="4" spans="1:17" x14ac:dyDescent="0.35">
      <c r="A4" s="1">
        <v>3110</v>
      </c>
      <c r="B4" s="11" t="s">
        <v>0</v>
      </c>
      <c r="C4" s="15">
        <v>4091848</v>
      </c>
      <c r="D4" s="24">
        <f>E4-C4</f>
        <v>0</v>
      </c>
      <c r="E4" s="15">
        <f>SUM(F4:Q4)</f>
        <v>4091848.0000000005</v>
      </c>
      <c r="F4" s="23">
        <f>4091848/12</f>
        <v>340987.33333333331</v>
      </c>
      <c r="G4" s="23">
        <f t="shared" ref="G4:Q4" si="0">4091848/12</f>
        <v>340987.33333333331</v>
      </c>
      <c r="H4" s="23">
        <f t="shared" si="0"/>
        <v>340987.33333333331</v>
      </c>
      <c r="I4" s="23">
        <f t="shared" si="0"/>
        <v>340987.33333333331</v>
      </c>
      <c r="J4" s="23">
        <f t="shared" si="0"/>
        <v>340987.33333333331</v>
      </c>
      <c r="K4" s="23">
        <f t="shared" si="0"/>
        <v>340987.33333333331</v>
      </c>
      <c r="L4" s="23">
        <f t="shared" si="0"/>
        <v>340987.33333333331</v>
      </c>
      <c r="M4" s="23">
        <f t="shared" si="0"/>
        <v>340987.33333333331</v>
      </c>
      <c r="N4" s="23">
        <f t="shared" si="0"/>
        <v>340987.33333333331</v>
      </c>
      <c r="O4" s="23">
        <f t="shared" si="0"/>
        <v>340987.33333333331</v>
      </c>
      <c r="P4" s="23">
        <f t="shared" si="0"/>
        <v>340987.33333333331</v>
      </c>
      <c r="Q4" s="23">
        <f t="shared" si="0"/>
        <v>340987.33333333331</v>
      </c>
    </row>
    <row r="5" spans="1:17" x14ac:dyDescent="0.35">
      <c r="A5" s="1">
        <v>4500</v>
      </c>
      <c r="B5" s="11" t="s">
        <v>1</v>
      </c>
      <c r="C5" s="15">
        <v>292410</v>
      </c>
      <c r="D5" s="24">
        <f t="shared" ref="D5:D7" si="1">E5-C5</f>
        <v>0</v>
      </c>
      <c r="E5" s="15">
        <f t="shared" ref="E5:E8" si="2">SUM(F5:Q5)</f>
        <v>292410</v>
      </c>
      <c r="F5" s="23">
        <v>0</v>
      </c>
      <c r="G5" s="23">
        <f>(3*(570*0.95)*15)</f>
        <v>24367.5</v>
      </c>
      <c r="H5" s="23">
        <f>(3*(570*0.95)*20)</f>
        <v>32490</v>
      </c>
      <c r="I5" s="23">
        <f>(3*(570*0.95)*20)</f>
        <v>32490</v>
      </c>
      <c r="J5" s="23">
        <f>(3*(570*0.95)*18)</f>
        <v>29241</v>
      </c>
      <c r="K5" s="23">
        <f>(3*(570*0.95)*12)</f>
        <v>19494</v>
      </c>
      <c r="L5" s="23">
        <f>(3*(570*0.95)*18)</f>
        <v>29241</v>
      </c>
      <c r="M5" s="23">
        <f>(3*(570*0.95)*19)</f>
        <v>30865.5</v>
      </c>
      <c r="N5" s="23">
        <f>(3*(570*0.95)*20)</f>
        <v>32490</v>
      </c>
      <c r="O5" s="23">
        <f>(3*(570*0.95)*18)</f>
        <v>29241</v>
      </c>
      <c r="P5" s="23">
        <f>(3*(570*0.95)*20)</f>
        <v>32490</v>
      </c>
      <c r="Q5" s="23">
        <v>0</v>
      </c>
    </row>
    <row r="6" spans="1:17" x14ac:dyDescent="0.35">
      <c r="A6" s="1">
        <v>4500</v>
      </c>
      <c r="B6" s="11" t="s">
        <v>94</v>
      </c>
      <c r="C6" s="15">
        <v>28500</v>
      </c>
      <c r="D6" s="24">
        <f t="shared" si="1"/>
        <v>0</v>
      </c>
      <c r="E6" s="15">
        <f t="shared" si="2"/>
        <v>28500</v>
      </c>
      <c r="F6" s="23"/>
      <c r="G6" s="23"/>
      <c r="H6" s="23"/>
      <c r="I6" s="23"/>
      <c r="J6" s="23">
        <f>28500/3</f>
        <v>9500</v>
      </c>
      <c r="K6" s="23"/>
      <c r="L6" s="23"/>
      <c r="M6" s="23"/>
      <c r="N6" s="23">
        <f>28500/3</f>
        <v>9500</v>
      </c>
      <c r="O6" s="23"/>
      <c r="P6" s="23"/>
      <c r="Q6" s="23">
        <f>28500/3</f>
        <v>9500</v>
      </c>
    </row>
    <row r="7" spans="1:17" ht="15" thickBot="1" x14ac:dyDescent="0.4">
      <c r="A7" s="3">
        <v>3115</v>
      </c>
      <c r="B7" s="11" t="s">
        <v>4</v>
      </c>
      <c r="C7" s="15">
        <v>0</v>
      </c>
      <c r="D7" s="24">
        <f t="shared" si="1"/>
        <v>0</v>
      </c>
      <c r="E7" s="15">
        <f t="shared" si="2"/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</row>
    <row r="8" spans="1:17" ht="15" thickBot="1" x14ac:dyDescent="0.4">
      <c r="A8" s="21"/>
      <c r="B8" s="181" t="s">
        <v>5</v>
      </c>
      <c r="C8" s="22">
        <f>SUM(C4:C7)</f>
        <v>4412758</v>
      </c>
      <c r="D8" s="22">
        <f>SUM(D4:D7)</f>
        <v>0</v>
      </c>
      <c r="E8" s="22">
        <f t="shared" si="2"/>
        <v>4412758.0000000009</v>
      </c>
      <c r="F8" s="22">
        <f>SUM(F4:F7)</f>
        <v>340987.33333333331</v>
      </c>
      <c r="G8" s="22">
        <f t="shared" ref="G8:Q8" si="3">SUM(G4:G7)</f>
        <v>365354.83333333331</v>
      </c>
      <c r="H8" s="22">
        <f t="shared" si="3"/>
        <v>373477.33333333331</v>
      </c>
      <c r="I8" s="22">
        <f t="shared" si="3"/>
        <v>373477.33333333331</v>
      </c>
      <c r="J8" s="22">
        <f t="shared" si="3"/>
        <v>379728.33333333331</v>
      </c>
      <c r="K8" s="22">
        <f t="shared" si="3"/>
        <v>360481.33333333331</v>
      </c>
      <c r="L8" s="22">
        <f t="shared" si="3"/>
        <v>370228.33333333331</v>
      </c>
      <c r="M8" s="22">
        <f t="shared" si="3"/>
        <v>371852.83333333331</v>
      </c>
      <c r="N8" s="22">
        <f t="shared" si="3"/>
        <v>382977.33333333331</v>
      </c>
      <c r="O8" s="22">
        <f t="shared" si="3"/>
        <v>370228.33333333331</v>
      </c>
      <c r="P8" s="22">
        <f t="shared" si="3"/>
        <v>373477.33333333331</v>
      </c>
      <c r="Q8" s="22">
        <f t="shared" si="3"/>
        <v>350487.33333333331</v>
      </c>
    </row>
    <row r="10" spans="1:17" x14ac:dyDescent="0.35">
      <c r="A10" s="2"/>
      <c r="B10" s="12" t="s">
        <v>6</v>
      </c>
      <c r="C10" s="177" t="s">
        <v>204</v>
      </c>
      <c r="D10" s="178" t="s">
        <v>205</v>
      </c>
      <c r="E10" s="178" t="s">
        <v>177</v>
      </c>
      <c r="F10" s="26" t="s">
        <v>91</v>
      </c>
      <c r="G10" s="26" t="s">
        <v>81</v>
      </c>
      <c r="H10" s="26" t="s">
        <v>82</v>
      </c>
      <c r="I10" s="26" t="s">
        <v>83</v>
      </c>
      <c r="J10" s="26" t="s">
        <v>80</v>
      </c>
      <c r="K10" s="26" t="s">
        <v>84</v>
      </c>
      <c r="L10" s="26" t="s">
        <v>85</v>
      </c>
      <c r="M10" s="26" t="s">
        <v>86</v>
      </c>
      <c r="N10" s="26" t="s">
        <v>87</v>
      </c>
      <c r="O10" s="26" t="s">
        <v>88</v>
      </c>
      <c r="P10" s="26" t="s">
        <v>89</v>
      </c>
      <c r="Q10" s="26" t="s">
        <v>90</v>
      </c>
    </row>
    <row r="11" spans="1:17" x14ac:dyDescent="0.35">
      <c r="A11" s="1">
        <v>104</v>
      </c>
      <c r="B11" s="11" t="s">
        <v>8</v>
      </c>
      <c r="C11" s="15">
        <v>100000</v>
      </c>
      <c r="D11" s="24">
        <f>E11-C11</f>
        <v>0</v>
      </c>
      <c r="E11" s="15">
        <f>SUM(F11:Q11)</f>
        <v>99999.999999999985</v>
      </c>
      <c r="F11" s="23">
        <f>100000/12</f>
        <v>8333.3333333333339</v>
      </c>
      <c r="G11" s="23">
        <f t="shared" ref="G11:Q11" si="4">100000/12</f>
        <v>8333.3333333333339</v>
      </c>
      <c r="H11" s="23">
        <f t="shared" si="4"/>
        <v>8333.3333333333339</v>
      </c>
      <c r="I11" s="23">
        <f t="shared" si="4"/>
        <v>8333.3333333333339</v>
      </c>
      <c r="J11" s="23">
        <f t="shared" si="4"/>
        <v>8333.3333333333339</v>
      </c>
      <c r="K11" s="23">
        <f t="shared" si="4"/>
        <v>8333.3333333333339</v>
      </c>
      <c r="L11" s="23">
        <f t="shared" si="4"/>
        <v>8333.3333333333339</v>
      </c>
      <c r="M11" s="23">
        <f t="shared" si="4"/>
        <v>8333.3333333333339</v>
      </c>
      <c r="N11" s="23">
        <f t="shared" si="4"/>
        <v>8333.3333333333339</v>
      </c>
      <c r="O11" s="23">
        <f t="shared" si="4"/>
        <v>8333.3333333333339</v>
      </c>
      <c r="P11" s="23">
        <f t="shared" si="4"/>
        <v>8333.3333333333339</v>
      </c>
      <c r="Q11" s="23">
        <f t="shared" si="4"/>
        <v>8333.3333333333339</v>
      </c>
    </row>
    <row r="12" spans="1:17" x14ac:dyDescent="0.35">
      <c r="A12" s="1">
        <v>104</v>
      </c>
      <c r="B12" s="11" t="s">
        <v>9</v>
      </c>
      <c r="C12" s="15">
        <v>75000</v>
      </c>
      <c r="D12" s="24">
        <f t="shared" ref="D12:D72" si="5">E12-C12</f>
        <v>0</v>
      </c>
      <c r="E12" s="15">
        <f t="shared" ref="E12:E72" si="6">SUM(F12:Q12)</f>
        <v>75000</v>
      </c>
      <c r="F12" s="23">
        <f>75000/12</f>
        <v>6250</v>
      </c>
      <c r="G12" s="23">
        <f t="shared" ref="G12:Q12" si="7">75000/12</f>
        <v>6250</v>
      </c>
      <c r="H12" s="23">
        <f t="shared" si="7"/>
        <v>6250</v>
      </c>
      <c r="I12" s="23">
        <f t="shared" si="7"/>
        <v>6250</v>
      </c>
      <c r="J12" s="23">
        <f t="shared" si="7"/>
        <v>6250</v>
      </c>
      <c r="K12" s="23">
        <f t="shared" si="7"/>
        <v>6250</v>
      </c>
      <c r="L12" s="23">
        <f t="shared" si="7"/>
        <v>6250</v>
      </c>
      <c r="M12" s="23">
        <f t="shared" si="7"/>
        <v>6250</v>
      </c>
      <c r="N12" s="23">
        <f t="shared" si="7"/>
        <v>6250</v>
      </c>
      <c r="O12" s="23">
        <f t="shared" si="7"/>
        <v>6250</v>
      </c>
      <c r="P12" s="23">
        <f t="shared" si="7"/>
        <v>6250</v>
      </c>
      <c r="Q12" s="23">
        <f t="shared" si="7"/>
        <v>6250</v>
      </c>
    </row>
    <row r="13" spans="1:17" x14ac:dyDescent="0.35">
      <c r="A13" s="1">
        <v>105</v>
      </c>
      <c r="B13" s="11" t="s">
        <v>10</v>
      </c>
      <c r="C13" s="15">
        <v>57000</v>
      </c>
      <c r="D13" s="24">
        <f t="shared" si="5"/>
        <v>0</v>
      </c>
      <c r="E13" s="15">
        <f t="shared" si="6"/>
        <v>57000.000000000015</v>
      </c>
      <c r="F13" s="23">
        <v>0</v>
      </c>
      <c r="G13" s="23">
        <f>57000/11</f>
        <v>5181.818181818182</v>
      </c>
      <c r="H13" s="23">
        <f t="shared" ref="H13:Q13" si="8">57000/11</f>
        <v>5181.818181818182</v>
      </c>
      <c r="I13" s="23">
        <f t="shared" si="8"/>
        <v>5181.818181818182</v>
      </c>
      <c r="J13" s="23">
        <f t="shared" si="8"/>
        <v>5181.818181818182</v>
      </c>
      <c r="K13" s="23">
        <f t="shared" si="8"/>
        <v>5181.818181818182</v>
      </c>
      <c r="L13" s="23">
        <f t="shared" si="8"/>
        <v>5181.818181818182</v>
      </c>
      <c r="M13" s="23">
        <f t="shared" si="8"/>
        <v>5181.818181818182</v>
      </c>
      <c r="N13" s="23">
        <f t="shared" si="8"/>
        <v>5181.818181818182</v>
      </c>
      <c r="O13" s="23">
        <f t="shared" si="8"/>
        <v>5181.818181818182</v>
      </c>
      <c r="P13" s="23">
        <f t="shared" si="8"/>
        <v>5181.818181818182</v>
      </c>
      <c r="Q13" s="23">
        <f t="shared" si="8"/>
        <v>5181.818181818182</v>
      </c>
    </row>
    <row r="14" spans="1:17" x14ac:dyDescent="0.35">
      <c r="A14" s="1" t="s">
        <v>11</v>
      </c>
      <c r="B14" s="11" t="s">
        <v>12</v>
      </c>
      <c r="C14" s="15">
        <v>0</v>
      </c>
      <c r="D14" s="24">
        <f t="shared" si="5"/>
        <v>0</v>
      </c>
      <c r="E14" s="15">
        <f t="shared" si="6"/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spans="1:17" x14ac:dyDescent="0.35">
      <c r="A15" s="1" t="s">
        <v>13</v>
      </c>
      <c r="B15" s="11" t="s">
        <v>14</v>
      </c>
      <c r="C15" s="15">
        <v>1062500</v>
      </c>
      <c r="D15" s="24">
        <f t="shared" si="5"/>
        <v>-88541.666666666861</v>
      </c>
      <c r="E15" s="15">
        <f t="shared" si="6"/>
        <v>973958.33333333314</v>
      </c>
      <c r="F15" s="23">
        <v>0</v>
      </c>
      <c r="G15" s="23">
        <f>1062500/12</f>
        <v>88541.666666666672</v>
      </c>
      <c r="H15" s="23">
        <f t="shared" ref="H15:Q15" si="9">1062500/12</f>
        <v>88541.666666666672</v>
      </c>
      <c r="I15" s="23">
        <f t="shared" si="9"/>
        <v>88541.666666666672</v>
      </c>
      <c r="J15" s="23">
        <f t="shared" si="9"/>
        <v>88541.666666666672</v>
      </c>
      <c r="K15" s="23">
        <f t="shared" si="9"/>
        <v>88541.666666666672</v>
      </c>
      <c r="L15" s="23">
        <f t="shared" si="9"/>
        <v>88541.666666666672</v>
      </c>
      <c r="M15" s="23">
        <f t="shared" si="9"/>
        <v>88541.666666666672</v>
      </c>
      <c r="N15" s="23">
        <f t="shared" si="9"/>
        <v>88541.666666666672</v>
      </c>
      <c r="O15" s="23">
        <f t="shared" si="9"/>
        <v>88541.666666666672</v>
      </c>
      <c r="P15" s="23">
        <f t="shared" si="9"/>
        <v>88541.666666666672</v>
      </c>
      <c r="Q15" s="23">
        <f t="shared" si="9"/>
        <v>88541.666666666672</v>
      </c>
    </row>
    <row r="16" spans="1:17" x14ac:dyDescent="0.35">
      <c r="A16" s="1">
        <v>101</v>
      </c>
      <c r="B16" s="11" t="s">
        <v>15</v>
      </c>
      <c r="C16" s="15">
        <v>127500</v>
      </c>
      <c r="D16" s="24">
        <f t="shared" si="5"/>
        <v>-10625</v>
      </c>
      <c r="E16" s="15">
        <f t="shared" si="6"/>
        <v>116875</v>
      </c>
      <c r="F16" s="23">
        <v>0</v>
      </c>
      <c r="G16" s="23">
        <f>127500/12</f>
        <v>10625</v>
      </c>
      <c r="H16" s="23">
        <f t="shared" ref="H16:Q16" si="10">127500/12</f>
        <v>10625</v>
      </c>
      <c r="I16" s="23">
        <f t="shared" si="10"/>
        <v>10625</v>
      </c>
      <c r="J16" s="23">
        <f t="shared" si="10"/>
        <v>10625</v>
      </c>
      <c r="K16" s="23">
        <f t="shared" si="10"/>
        <v>10625</v>
      </c>
      <c r="L16" s="23">
        <f t="shared" si="10"/>
        <v>10625</v>
      </c>
      <c r="M16" s="23">
        <f t="shared" si="10"/>
        <v>10625</v>
      </c>
      <c r="N16" s="23">
        <f t="shared" si="10"/>
        <v>10625</v>
      </c>
      <c r="O16" s="23">
        <f t="shared" si="10"/>
        <v>10625</v>
      </c>
      <c r="P16" s="23">
        <f t="shared" si="10"/>
        <v>10625</v>
      </c>
      <c r="Q16" s="23">
        <f t="shared" si="10"/>
        <v>10625</v>
      </c>
    </row>
    <row r="17" spans="1:17" x14ac:dyDescent="0.35">
      <c r="A17" s="1">
        <v>107</v>
      </c>
      <c r="B17" s="11" t="s">
        <v>16</v>
      </c>
      <c r="C17" s="15">
        <v>40000</v>
      </c>
      <c r="D17" s="24">
        <f t="shared" si="5"/>
        <v>0</v>
      </c>
      <c r="E17" s="15">
        <f t="shared" si="6"/>
        <v>40000</v>
      </c>
      <c r="F17" s="23">
        <f>40000/12</f>
        <v>3333.3333333333335</v>
      </c>
      <c r="G17" s="23">
        <f t="shared" ref="G17:Q17" si="11">40000/12</f>
        <v>3333.3333333333335</v>
      </c>
      <c r="H17" s="23">
        <f t="shared" si="11"/>
        <v>3333.3333333333335</v>
      </c>
      <c r="I17" s="23">
        <f t="shared" si="11"/>
        <v>3333.3333333333335</v>
      </c>
      <c r="J17" s="23">
        <f t="shared" si="11"/>
        <v>3333.3333333333335</v>
      </c>
      <c r="K17" s="23">
        <f t="shared" si="11"/>
        <v>3333.3333333333335</v>
      </c>
      <c r="L17" s="23">
        <f t="shared" si="11"/>
        <v>3333.3333333333335</v>
      </c>
      <c r="M17" s="23">
        <f t="shared" si="11"/>
        <v>3333.3333333333335</v>
      </c>
      <c r="N17" s="23">
        <f t="shared" si="11"/>
        <v>3333.3333333333335</v>
      </c>
      <c r="O17" s="23">
        <f t="shared" si="11"/>
        <v>3333.3333333333335</v>
      </c>
      <c r="P17" s="23">
        <f t="shared" si="11"/>
        <v>3333.3333333333335</v>
      </c>
      <c r="Q17" s="23">
        <f t="shared" si="11"/>
        <v>3333.3333333333335</v>
      </c>
    </row>
    <row r="18" spans="1:17" x14ac:dyDescent="0.35">
      <c r="A18" s="1">
        <v>107</v>
      </c>
      <c r="B18" s="11" t="s">
        <v>17</v>
      </c>
      <c r="C18" s="15">
        <v>19760</v>
      </c>
      <c r="D18" s="24">
        <f t="shared" si="5"/>
        <v>0</v>
      </c>
      <c r="E18" s="15">
        <f t="shared" si="6"/>
        <v>19760</v>
      </c>
      <c r="F18" s="23">
        <v>0</v>
      </c>
      <c r="G18" s="23">
        <f>19760/11</f>
        <v>1796.3636363636363</v>
      </c>
      <c r="H18" s="23">
        <f t="shared" ref="H18:Q18" si="12">19760/11</f>
        <v>1796.3636363636363</v>
      </c>
      <c r="I18" s="23">
        <f t="shared" si="12"/>
        <v>1796.3636363636363</v>
      </c>
      <c r="J18" s="23">
        <f t="shared" si="12"/>
        <v>1796.3636363636363</v>
      </c>
      <c r="K18" s="23">
        <f t="shared" si="12"/>
        <v>1796.3636363636363</v>
      </c>
      <c r="L18" s="23">
        <f t="shared" si="12"/>
        <v>1796.3636363636363</v>
      </c>
      <c r="M18" s="23">
        <f t="shared" si="12"/>
        <v>1796.3636363636363</v>
      </c>
      <c r="N18" s="23">
        <f t="shared" si="12"/>
        <v>1796.3636363636363</v>
      </c>
      <c r="O18" s="23">
        <f t="shared" si="12"/>
        <v>1796.3636363636363</v>
      </c>
      <c r="P18" s="23">
        <f t="shared" si="12"/>
        <v>1796.3636363636363</v>
      </c>
      <c r="Q18" s="23">
        <f t="shared" si="12"/>
        <v>1796.3636363636363</v>
      </c>
    </row>
    <row r="19" spans="1:17" x14ac:dyDescent="0.35">
      <c r="A19" s="1">
        <v>102</v>
      </c>
      <c r="B19" s="11" t="s">
        <v>18</v>
      </c>
      <c r="C19" s="15">
        <v>18720</v>
      </c>
      <c r="D19" s="24">
        <f t="shared" si="5"/>
        <v>0</v>
      </c>
      <c r="E19" s="15">
        <f t="shared" si="6"/>
        <v>18719.999999999996</v>
      </c>
      <c r="F19" s="23">
        <v>0</v>
      </c>
      <c r="G19" s="23">
        <f>18720/11</f>
        <v>1701.8181818181818</v>
      </c>
      <c r="H19" s="23">
        <f t="shared" ref="H19:Q19" si="13">18720/11</f>
        <v>1701.8181818181818</v>
      </c>
      <c r="I19" s="23">
        <f t="shared" si="13"/>
        <v>1701.8181818181818</v>
      </c>
      <c r="J19" s="23">
        <f t="shared" si="13"/>
        <v>1701.8181818181818</v>
      </c>
      <c r="K19" s="23">
        <f t="shared" si="13"/>
        <v>1701.8181818181818</v>
      </c>
      <c r="L19" s="23">
        <f t="shared" si="13"/>
        <v>1701.8181818181818</v>
      </c>
      <c r="M19" s="23">
        <f t="shared" si="13"/>
        <v>1701.8181818181818</v>
      </c>
      <c r="N19" s="23">
        <f t="shared" si="13"/>
        <v>1701.8181818181818</v>
      </c>
      <c r="O19" s="23">
        <f t="shared" si="13"/>
        <v>1701.8181818181818</v>
      </c>
      <c r="P19" s="23">
        <f t="shared" si="13"/>
        <v>1701.8181818181818</v>
      </c>
      <c r="Q19" s="23">
        <f t="shared" si="13"/>
        <v>1701.8181818181818</v>
      </c>
    </row>
    <row r="20" spans="1:17" x14ac:dyDescent="0.35">
      <c r="A20" s="1">
        <v>107</v>
      </c>
      <c r="B20" s="11" t="s">
        <v>19</v>
      </c>
      <c r="C20" s="15">
        <v>24960</v>
      </c>
      <c r="D20" s="24">
        <f t="shared" si="5"/>
        <v>0</v>
      </c>
      <c r="E20" s="15">
        <f t="shared" si="6"/>
        <v>24960</v>
      </c>
      <c r="F20" s="23">
        <f>24960/12</f>
        <v>2080</v>
      </c>
      <c r="G20" s="23">
        <f t="shared" ref="G20:Q20" si="14">24960/12</f>
        <v>2080</v>
      </c>
      <c r="H20" s="23">
        <f t="shared" si="14"/>
        <v>2080</v>
      </c>
      <c r="I20" s="23">
        <f t="shared" si="14"/>
        <v>2080</v>
      </c>
      <c r="J20" s="23">
        <f t="shared" si="14"/>
        <v>2080</v>
      </c>
      <c r="K20" s="23">
        <f t="shared" si="14"/>
        <v>2080</v>
      </c>
      <c r="L20" s="23">
        <f t="shared" si="14"/>
        <v>2080</v>
      </c>
      <c r="M20" s="23">
        <f t="shared" si="14"/>
        <v>2080</v>
      </c>
      <c r="N20" s="23">
        <f t="shared" si="14"/>
        <v>2080</v>
      </c>
      <c r="O20" s="23">
        <f t="shared" si="14"/>
        <v>2080</v>
      </c>
      <c r="P20" s="23">
        <f t="shared" si="14"/>
        <v>2080</v>
      </c>
      <c r="Q20" s="23">
        <f t="shared" si="14"/>
        <v>2080</v>
      </c>
    </row>
    <row r="21" spans="1:17" hidden="1" x14ac:dyDescent="0.35">
      <c r="A21" s="1"/>
      <c r="B21" s="11" t="s">
        <v>23</v>
      </c>
      <c r="C21" s="15"/>
      <c r="D21" s="24">
        <f t="shared" si="5"/>
        <v>0</v>
      </c>
      <c r="E21" s="15">
        <f t="shared" si="6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idden="1" x14ac:dyDescent="0.35">
      <c r="A22" s="1"/>
      <c r="B22" s="11" t="s">
        <v>24</v>
      </c>
      <c r="C22" s="15"/>
      <c r="D22" s="24">
        <f t="shared" si="5"/>
        <v>0</v>
      </c>
      <c r="E22" s="15">
        <f t="shared" si="6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idden="1" x14ac:dyDescent="0.35">
      <c r="A23" s="1"/>
      <c r="B23" s="11" t="s">
        <v>25</v>
      </c>
      <c r="C23" s="15"/>
      <c r="D23" s="24">
        <f t="shared" si="5"/>
        <v>0</v>
      </c>
      <c r="E23" s="15">
        <f t="shared" si="6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idden="1" x14ac:dyDescent="0.35">
      <c r="A24" s="1"/>
      <c r="B24" s="11" t="s">
        <v>26</v>
      </c>
      <c r="C24" s="15"/>
      <c r="D24" s="24">
        <f t="shared" si="5"/>
        <v>0</v>
      </c>
      <c r="E24" s="15">
        <f t="shared" si="6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idden="1" x14ac:dyDescent="0.35">
      <c r="A25" s="1"/>
      <c r="B25" s="11" t="s">
        <v>27</v>
      </c>
      <c r="C25" s="15"/>
      <c r="D25" s="24">
        <f t="shared" si="5"/>
        <v>0</v>
      </c>
      <c r="E25" s="15">
        <f t="shared" si="6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idden="1" x14ac:dyDescent="0.35">
      <c r="A26" s="1"/>
      <c r="B26" s="11" t="s">
        <v>2</v>
      </c>
      <c r="C26" s="15"/>
      <c r="D26" s="24">
        <f t="shared" si="5"/>
        <v>0</v>
      </c>
      <c r="E26" s="15">
        <f t="shared" si="6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35">
      <c r="A27" s="1">
        <v>107</v>
      </c>
      <c r="B27" s="11" t="s">
        <v>28</v>
      </c>
      <c r="C27" s="15">
        <v>20160</v>
      </c>
      <c r="D27" s="24">
        <f t="shared" si="5"/>
        <v>0</v>
      </c>
      <c r="E27" s="15">
        <f t="shared" si="6"/>
        <v>20159.999999999996</v>
      </c>
      <c r="F27" s="23">
        <v>0</v>
      </c>
      <c r="G27" s="23">
        <f>20160/11</f>
        <v>1832.7272727272727</v>
      </c>
      <c r="H27" s="23">
        <f t="shared" ref="H27:Q27" si="15">20160/11</f>
        <v>1832.7272727272727</v>
      </c>
      <c r="I27" s="23">
        <f t="shared" si="15"/>
        <v>1832.7272727272727</v>
      </c>
      <c r="J27" s="23">
        <f t="shared" si="15"/>
        <v>1832.7272727272727</v>
      </c>
      <c r="K27" s="23">
        <f t="shared" si="15"/>
        <v>1832.7272727272727</v>
      </c>
      <c r="L27" s="23">
        <f t="shared" si="15"/>
        <v>1832.7272727272727</v>
      </c>
      <c r="M27" s="23">
        <f t="shared" si="15"/>
        <v>1832.7272727272727</v>
      </c>
      <c r="N27" s="23">
        <f t="shared" si="15"/>
        <v>1832.7272727272727</v>
      </c>
      <c r="O27" s="23">
        <f t="shared" si="15"/>
        <v>1832.7272727272727</v>
      </c>
      <c r="P27" s="23">
        <f t="shared" si="15"/>
        <v>1832.7272727272727</v>
      </c>
      <c r="Q27" s="23">
        <f t="shared" si="15"/>
        <v>1832.7272727272727</v>
      </c>
    </row>
    <row r="28" spans="1:17" hidden="1" x14ac:dyDescent="0.35">
      <c r="A28" s="3"/>
      <c r="B28" s="11" t="s">
        <v>29</v>
      </c>
      <c r="C28" s="15"/>
      <c r="D28" s="24">
        <f t="shared" si="5"/>
        <v>0</v>
      </c>
      <c r="E28" s="15">
        <f t="shared" si="6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35">
      <c r="A29" s="4">
        <v>230</v>
      </c>
      <c r="B29" s="11" t="s">
        <v>31</v>
      </c>
      <c r="C29" s="15">
        <v>452088</v>
      </c>
      <c r="D29" s="24">
        <f t="shared" si="5"/>
        <v>-29006.249999999942</v>
      </c>
      <c r="E29" s="15">
        <f t="shared" si="6"/>
        <v>423081.75000000006</v>
      </c>
      <c r="F29" s="23">
        <f>SUM(F11:F27)*0.2925</f>
        <v>5849.0249999999996</v>
      </c>
      <c r="G29" s="23">
        <f t="shared" ref="G29:Q29" si="16">SUM(G11:G27)*0.2925</f>
        <v>37930.247727272726</v>
      </c>
      <c r="H29" s="23">
        <f t="shared" si="16"/>
        <v>37930.247727272726</v>
      </c>
      <c r="I29" s="23">
        <f t="shared" si="16"/>
        <v>37930.247727272726</v>
      </c>
      <c r="J29" s="23">
        <f t="shared" si="16"/>
        <v>37930.247727272726</v>
      </c>
      <c r="K29" s="23">
        <f t="shared" si="16"/>
        <v>37930.247727272726</v>
      </c>
      <c r="L29" s="23">
        <f t="shared" si="16"/>
        <v>37930.247727272726</v>
      </c>
      <c r="M29" s="23">
        <f t="shared" si="16"/>
        <v>37930.247727272726</v>
      </c>
      <c r="N29" s="23">
        <f t="shared" si="16"/>
        <v>37930.247727272726</v>
      </c>
      <c r="O29" s="23">
        <f t="shared" si="16"/>
        <v>37930.247727272726</v>
      </c>
      <c r="P29" s="23">
        <f t="shared" si="16"/>
        <v>37930.247727272726</v>
      </c>
      <c r="Q29" s="23">
        <f t="shared" si="16"/>
        <v>37930.247727272726</v>
      </c>
    </row>
    <row r="30" spans="1:17" x14ac:dyDescent="0.35">
      <c r="A30" s="5"/>
      <c r="B30" s="11" t="s">
        <v>32</v>
      </c>
      <c r="C30" s="15">
        <v>266616</v>
      </c>
      <c r="D30" s="24">
        <f t="shared" si="5"/>
        <v>-17106.250000000029</v>
      </c>
      <c r="E30" s="15">
        <f t="shared" si="6"/>
        <v>249509.74999999997</v>
      </c>
      <c r="F30" s="23">
        <f>SUM(F11:F27)*0.1725</f>
        <v>3449.4249999999997</v>
      </c>
      <c r="G30" s="23">
        <f t="shared" ref="G30:Q30" si="17">SUM(G11:G27)*0.1725</f>
        <v>22369.120454545453</v>
      </c>
      <c r="H30" s="23">
        <f t="shared" si="17"/>
        <v>22369.120454545453</v>
      </c>
      <c r="I30" s="23">
        <f t="shared" si="17"/>
        <v>22369.120454545453</v>
      </c>
      <c r="J30" s="23">
        <f t="shared" si="17"/>
        <v>22369.120454545453</v>
      </c>
      <c r="K30" s="23">
        <f t="shared" si="17"/>
        <v>22369.120454545453</v>
      </c>
      <c r="L30" s="23">
        <f t="shared" si="17"/>
        <v>22369.120454545453</v>
      </c>
      <c r="M30" s="23">
        <f t="shared" si="17"/>
        <v>22369.120454545453</v>
      </c>
      <c r="N30" s="23">
        <f t="shared" si="17"/>
        <v>22369.120454545453</v>
      </c>
      <c r="O30" s="23">
        <f t="shared" si="17"/>
        <v>22369.120454545453</v>
      </c>
      <c r="P30" s="23">
        <f t="shared" si="17"/>
        <v>22369.120454545453</v>
      </c>
      <c r="Q30" s="23">
        <f t="shared" si="17"/>
        <v>22369.120454545453</v>
      </c>
    </row>
    <row r="31" spans="1:17" x14ac:dyDescent="0.35">
      <c r="A31" s="1">
        <v>150</v>
      </c>
      <c r="B31" s="11" t="s">
        <v>33</v>
      </c>
      <c r="C31" s="15"/>
      <c r="D31" s="24">
        <f t="shared" si="5"/>
        <v>0</v>
      </c>
      <c r="E31" s="15">
        <f t="shared" si="6"/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  <row r="32" spans="1:17" x14ac:dyDescent="0.35">
      <c r="A32" s="1">
        <v>250</v>
      </c>
      <c r="B32" s="11" t="s">
        <v>34</v>
      </c>
      <c r="C32" s="15">
        <v>5000</v>
      </c>
      <c r="D32" s="24">
        <f t="shared" si="5"/>
        <v>0</v>
      </c>
      <c r="E32" s="15">
        <f t="shared" si="6"/>
        <v>5000</v>
      </c>
      <c r="F32" s="23"/>
      <c r="G32" s="23"/>
      <c r="H32" s="23"/>
      <c r="I32" s="23"/>
      <c r="J32" s="23"/>
      <c r="K32" s="23"/>
      <c r="L32" s="23">
        <v>2500</v>
      </c>
      <c r="M32" s="23"/>
      <c r="N32" s="23"/>
      <c r="O32" s="23"/>
      <c r="P32" s="23"/>
      <c r="Q32" s="23">
        <v>2500</v>
      </c>
    </row>
    <row r="33" spans="1:17" x14ac:dyDescent="0.35">
      <c r="A33" s="3"/>
      <c r="B33" s="11" t="s">
        <v>35</v>
      </c>
      <c r="C33" s="15">
        <v>46200</v>
      </c>
      <c r="D33" s="24">
        <f t="shared" si="5"/>
        <v>0</v>
      </c>
      <c r="E33" s="15">
        <f t="shared" si="6"/>
        <v>46200</v>
      </c>
      <c r="F33" s="23">
        <v>0</v>
      </c>
      <c r="G33" s="23">
        <f>46200/10</f>
        <v>4620</v>
      </c>
      <c r="H33" s="23">
        <f t="shared" ref="H33:P33" si="18">46200/10</f>
        <v>4620</v>
      </c>
      <c r="I33" s="23">
        <f t="shared" si="18"/>
        <v>4620</v>
      </c>
      <c r="J33" s="23">
        <f t="shared" si="18"/>
        <v>4620</v>
      </c>
      <c r="K33" s="23">
        <f t="shared" si="18"/>
        <v>4620</v>
      </c>
      <c r="L33" s="23">
        <f t="shared" si="18"/>
        <v>4620</v>
      </c>
      <c r="M33" s="23">
        <f t="shared" si="18"/>
        <v>4620</v>
      </c>
      <c r="N33" s="23">
        <f t="shared" si="18"/>
        <v>4620</v>
      </c>
      <c r="O33" s="23">
        <f t="shared" si="18"/>
        <v>4620</v>
      </c>
      <c r="P33" s="23">
        <f t="shared" si="18"/>
        <v>4620</v>
      </c>
      <c r="Q33" s="23">
        <v>0</v>
      </c>
    </row>
    <row r="34" spans="1:17" x14ac:dyDescent="0.35">
      <c r="A34" s="5"/>
      <c r="B34" s="13" t="s">
        <v>38</v>
      </c>
      <c r="C34" s="16">
        <v>14250</v>
      </c>
      <c r="D34" s="24">
        <f t="shared" si="5"/>
        <v>0</v>
      </c>
      <c r="E34" s="15">
        <f t="shared" si="6"/>
        <v>14250</v>
      </c>
      <c r="F34" s="23">
        <v>11000</v>
      </c>
      <c r="G34" s="23">
        <v>2250</v>
      </c>
      <c r="H34" s="23">
        <v>1000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</row>
    <row r="35" spans="1:17" x14ac:dyDescent="0.35">
      <c r="A35" s="1"/>
      <c r="B35" s="11" t="s">
        <v>39</v>
      </c>
      <c r="C35" s="15">
        <v>110000</v>
      </c>
      <c r="D35" s="24">
        <f t="shared" si="5"/>
        <v>0</v>
      </c>
      <c r="E35" s="15">
        <f t="shared" si="6"/>
        <v>110000</v>
      </c>
      <c r="F35" s="23">
        <v>0</v>
      </c>
      <c r="G35" s="23">
        <v>0</v>
      </c>
      <c r="H35" s="23">
        <v>0</v>
      </c>
      <c r="I35" s="23">
        <v>0</v>
      </c>
      <c r="J35" s="23">
        <f>110000/8</f>
        <v>13750</v>
      </c>
      <c r="K35" s="23">
        <f t="shared" ref="K35:Q35" si="19">110000/8</f>
        <v>13750</v>
      </c>
      <c r="L35" s="23">
        <f t="shared" si="19"/>
        <v>13750</v>
      </c>
      <c r="M35" s="23">
        <f t="shared" si="19"/>
        <v>13750</v>
      </c>
      <c r="N35" s="23">
        <f t="shared" si="19"/>
        <v>13750</v>
      </c>
      <c r="O35" s="23">
        <f t="shared" si="19"/>
        <v>13750</v>
      </c>
      <c r="P35" s="23">
        <f t="shared" si="19"/>
        <v>13750</v>
      </c>
      <c r="Q35" s="23">
        <f t="shared" si="19"/>
        <v>13750</v>
      </c>
    </row>
    <row r="36" spans="1:17" x14ac:dyDescent="0.35">
      <c r="A36" s="1">
        <v>610</v>
      </c>
      <c r="B36" s="11" t="s">
        <v>40</v>
      </c>
      <c r="C36" s="15">
        <v>7410</v>
      </c>
      <c r="D36" s="24">
        <f t="shared" si="5"/>
        <v>0</v>
      </c>
      <c r="E36" s="15">
        <f t="shared" si="6"/>
        <v>7410</v>
      </c>
      <c r="F36" s="23">
        <v>4000</v>
      </c>
      <c r="G36" s="23">
        <v>800</v>
      </c>
      <c r="H36" s="23">
        <v>200</v>
      </c>
      <c r="I36" s="23">
        <v>200</v>
      </c>
      <c r="J36" s="23">
        <v>100</v>
      </c>
      <c r="K36" s="23">
        <v>50</v>
      </c>
      <c r="L36" s="23">
        <v>1500</v>
      </c>
      <c r="M36" s="23">
        <v>150</v>
      </c>
      <c r="N36" s="23">
        <v>150</v>
      </c>
      <c r="O36" s="23">
        <v>150</v>
      </c>
      <c r="P36" s="23">
        <v>60</v>
      </c>
      <c r="Q36" s="23">
        <v>50</v>
      </c>
    </row>
    <row r="37" spans="1:17" x14ac:dyDescent="0.35">
      <c r="A37" s="1">
        <v>610</v>
      </c>
      <c r="B37" s="11" t="s">
        <v>41</v>
      </c>
      <c r="C37" s="15">
        <v>15390</v>
      </c>
      <c r="D37" s="24">
        <f t="shared" si="5"/>
        <v>0</v>
      </c>
      <c r="E37" s="15">
        <f t="shared" si="6"/>
        <v>15390</v>
      </c>
      <c r="F37" s="23">
        <v>9000</v>
      </c>
      <c r="G37" s="23">
        <v>1000</v>
      </c>
      <c r="H37" s="23">
        <v>500</v>
      </c>
      <c r="I37" s="23">
        <v>500</v>
      </c>
      <c r="J37" s="23">
        <v>250</v>
      </c>
      <c r="K37" s="23">
        <v>1500</v>
      </c>
      <c r="L37" s="23">
        <v>300</v>
      </c>
      <c r="M37" s="23">
        <v>1000</v>
      </c>
      <c r="N37" s="23">
        <v>500</v>
      </c>
      <c r="O37" s="23">
        <v>500</v>
      </c>
      <c r="P37" s="23">
        <v>340</v>
      </c>
      <c r="Q37" s="23">
        <v>0</v>
      </c>
    </row>
    <row r="38" spans="1:17" x14ac:dyDescent="0.35">
      <c r="A38" s="1">
        <v>610</v>
      </c>
      <c r="B38" s="11" t="s">
        <v>42</v>
      </c>
      <c r="C38" s="15">
        <v>2280</v>
      </c>
      <c r="D38" s="24">
        <f t="shared" si="5"/>
        <v>0</v>
      </c>
      <c r="E38" s="15">
        <f t="shared" si="6"/>
        <v>2280</v>
      </c>
      <c r="F38" s="23">
        <v>800</v>
      </c>
      <c r="G38" s="23">
        <v>100</v>
      </c>
      <c r="H38" s="23">
        <v>100</v>
      </c>
      <c r="I38" s="23">
        <v>0</v>
      </c>
      <c r="J38" s="23">
        <v>0</v>
      </c>
      <c r="K38" s="23">
        <v>800</v>
      </c>
      <c r="L38" s="23">
        <v>200</v>
      </c>
      <c r="M38" s="23">
        <v>0</v>
      </c>
      <c r="N38" s="23">
        <v>100</v>
      </c>
      <c r="O38" s="23">
        <v>100</v>
      </c>
      <c r="P38" s="23">
        <v>80</v>
      </c>
      <c r="Q38" s="23">
        <v>0</v>
      </c>
    </row>
    <row r="39" spans="1:17" x14ac:dyDescent="0.35">
      <c r="A39" s="1">
        <v>610</v>
      </c>
      <c r="B39" s="11" t="s">
        <v>43</v>
      </c>
      <c r="C39" s="15">
        <v>1710</v>
      </c>
      <c r="D39" s="24">
        <f t="shared" si="5"/>
        <v>0</v>
      </c>
      <c r="E39" s="15">
        <f t="shared" si="6"/>
        <v>1710</v>
      </c>
      <c r="F39" s="23">
        <v>0</v>
      </c>
      <c r="G39" s="23">
        <v>1000</v>
      </c>
      <c r="H39" s="23">
        <v>0</v>
      </c>
      <c r="I39" s="23">
        <v>0</v>
      </c>
      <c r="J39" s="23">
        <v>0</v>
      </c>
      <c r="K39" s="23">
        <v>200</v>
      </c>
      <c r="L39" s="23">
        <v>0</v>
      </c>
      <c r="M39" s="23">
        <v>450</v>
      </c>
      <c r="N39" s="23">
        <v>0</v>
      </c>
      <c r="O39" s="23">
        <v>60</v>
      </c>
      <c r="P39" s="23">
        <v>0</v>
      </c>
      <c r="Q39" s="23">
        <v>0</v>
      </c>
    </row>
    <row r="40" spans="1:17" x14ac:dyDescent="0.35">
      <c r="A40" s="1">
        <v>610</v>
      </c>
      <c r="B40" s="11" t="s">
        <v>44</v>
      </c>
      <c r="C40" s="15">
        <v>8208</v>
      </c>
      <c r="D40" s="24">
        <f t="shared" si="5"/>
        <v>0</v>
      </c>
      <c r="E40" s="15">
        <f t="shared" si="6"/>
        <v>8208</v>
      </c>
      <c r="F40" s="23">
        <v>1500</v>
      </c>
      <c r="G40" s="23">
        <v>2000</v>
      </c>
      <c r="H40" s="23">
        <v>500</v>
      </c>
      <c r="I40" s="23">
        <v>0</v>
      </c>
      <c r="J40" s="23">
        <v>0</v>
      </c>
      <c r="K40" s="23">
        <v>1000</v>
      </c>
      <c r="L40" s="23">
        <v>2000</v>
      </c>
      <c r="M40" s="23">
        <v>0</v>
      </c>
      <c r="N40" s="23">
        <v>750</v>
      </c>
      <c r="O40" s="23">
        <v>200</v>
      </c>
      <c r="P40" s="23">
        <v>258</v>
      </c>
      <c r="Q40" s="23">
        <v>0</v>
      </c>
    </row>
    <row r="41" spans="1:17" x14ac:dyDescent="0.35">
      <c r="A41" s="6"/>
      <c r="B41" s="11" t="s">
        <v>45</v>
      </c>
      <c r="C41" s="15">
        <v>1000</v>
      </c>
      <c r="D41" s="24">
        <f t="shared" si="5"/>
        <v>0</v>
      </c>
      <c r="E41" s="15">
        <f t="shared" si="6"/>
        <v>1000</v>
      </c>
      <c r="F41" s="23">
        <v>0</v>
      </c>
      <c r="G41" s="23">
        <v>800</v>
      </c>
      <c r="H41" s="23">
        <v>0</v>
      </c>
      <c r="I41" s="23">
        <v>0</v>
      </c>
      <c r="J41" s="23">
        <v>0</v>
      </c>
      <c r="K41" s="23">
        <v>0</v>
      </c>
      <c r="L41" s="23">
        <v>200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</row>
    <row r="42" spans="1:17" x14ac:dyDescent="0.35">
      <c r="A42" s="4">
        <v>320</v>
      </c>
      <c r="B42" s="11" t="s">
        <v>46</v>
      </c>
      <c r="C42" s="15">
        <v>0</v>
      </c>
      <c r="D42" s="24">
        <f t="shared" si="5"/>
        <v>0</v>
      </c>
      <c r="E42" s="15">
        <f t="shared" si="6"/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35">
      <c r="A43" s="1">
        <v>300</v>
      </c>
      <c r="B43" s="11" t="s">
        <v>47</v>
      </c>
      <c r="C43" s="15">
        <v>99750</v>
      </c>
      <c r="D43" s="24">
        <f t="shared" si="5"/>
        <v>0</v>
      </c>
      <c r="E43" s="15">
        <f t="shared" si="6"/>
        <v>99750.000000000015</v>
      </c>
      <c r="F43" s="23">
        <v>0</v>
      </c>
      <c r="G43" s="23">
        <f>99750/11</f>
        <v>9068.181818181818</v>
      </c>
      <c r="H43" s="23">
        <f t="shared" ref="H43:Q43" si="20">99750/11</f>
        <v>9068.181818181818</v>
      </c>
      <c r="I43" s="23">
        <f t="shared" si="20"/>
        <v>9068.181818181818</v>
      </c>
      <c r="J43" s="23">
        <f t="shared" si="20"/>
        <v>9068.181818181818</v>
      </c>
      <c r="K43" s="23">
        <f t="shared" si="20"/>
        <v>9068.181818181818</v>
      </c>
      <c r="L43" s="23">
        <f t="shared" si="20"/>
        <v>9068.181818181818</v>
      </c>
      <c r="M43" s="23">
        <f t="shared" si="20"/>
        <v>9068.181818181818</v>
      </c>
      <c r="N43" s="23">
        <f t="shared" si="20"/>
        <v>9068.181818181818</v>
      </c>
      <c r="O43" s="23">
        <f t="shared" si="20"/>
        <v>9068.181818181818</v>
      </c>
      <c r="P43" s="23">
        <f t="shared" si="20"/>
        <v>9068.181818181818</v>
      </c>
      <c r="Q43" s="23">
        <f t="shared" si="20"/>
        <v>9068.181818181818</v>
      </c>
    </row>
    <row r="44" spans="1:17" x14ac:dyDescent="0.35">
      <c r="A44" s="1">
        <v>310</v>
      </c>
      <c r="B44" s="11" t="s">
        <v>48</v>
      </c>
      <c r="C44" s="15">
        <v>256500</v>
      </c>
      <c r="D44" s="24">
        <f t="shared" si="5"/>
        <v>0</v>
      </c>
      <c r="E44" s="15">
        <f t="shared" si="6"/>
        <v>256500</v>
      </c>
      <c r="F44" s="23">
        <f>256500/12</f>
        <v>21375</v>
      </c>
      <c r="G44" s="23">
        <f t="shared" ref="G44:Q44" si="21">256500/12</f>
        <v>21375</v>
      </c>
      <c r="H44" s="23">
        <f t="shared" si="21"/>
        <v>21375</v>
      </c>
      <c r="I44" s="23">
        <f t="shared" si="21"/>
        <v>21375</v>
      </c>
      <c r="J44" s="23">
        <f t="shared" si="21"/>
        <v>21375</v>
      </c>
      <c r="K44" s="23">
        <f t="shared" si="21"/>
        <v>21375</v>
      </c>
      <c r="L44" s="23">
        <f t="shared" si="21"/>
        <v>21375</v>
      </c>
      <c r="M44" s="23">
        <f t="shared" si="21"/>
        <v>21375</v>
      </c>
      <c r="N44" s="23">
        <f t="shared" si="21"/>
        <v>21375</v>
      </c>
      <c r="O44" s="23">
        <f t="shared" si="21"/>
        <v>21375</v>
      </c>
      <c r="P44" s="23">
        <f t="shared" si="21"/>
        <v>21375</v>
      </c>
      <c r="Q44" s="23">
        <f t="shared" si="21"/>
        <v>21375</v>
      </c>
    </row>
    <row r="45" spans="1:17" x14ac:dyDescent="0.35">
      <c r="A45" s="1">
        <v>310</v>
      </c>
      <c r="B45" s="11" t="s">
        <v>49</v>
      </c>
      <c r="C45" s="15">
        <v>10640</v>
      </c>
      <c r="D45" s="24">
        <f t="shared" si="5"/>
        <v>0</v>
      </c>
      <c r="E45" s="15">
        <f t="shared" si="6"/>
        <v>10640.000000000002</v>
      </c>
      <c r="F45" s="23">
        <v>150</v>
      </c>
      <c r="G45" s="23">
        <f>10490/11</f>
        <v>953.63636363636363</v>
      </c>
      <c r="H45" s="23">
        <f t="shared" ref="H45:Q45" si="22">10490/11</f>
        <v>953.63636363636363</v>
      </c>
      <c r="I45" s="23">
        <f t="shared" si="22"/>
        <v>953.63636363636363</v>
      </c>
      <c r="J45" s="23">
        <f t="shared" si="22"/>
        <v>953.63636363636363</v>
      </c>
      <c r="K45" s="23">
        <f t="shared" si="22"/>
        <v>953.63636363636363</v>
      </c>
      <c r="L45" s="23">
        <f t="shared" si="22"/>
        <v>953.63636363636363</v>
      </c>
      <c r="M45" s="23">
        <f t="shared" si="22"/>
        <v>953.63636363636363</v>
      </c>
      <c r="N45" s="23">
        <f t="shared" si="22"/>
        <v>953.63636363636363</v>
      </c>
      <c r="O45" s="23">
        <f t="shared" si="22"/>
        <v>953.63636363636363</v>
      </c>
      <c r="P45" s="23">
        <f t="shared" si="22"/>
        <v>953.63636363636363</v>
      </c>
      <c r="Q45" s="23">
        <f t="shared" si="22"/>
        <v>953.63636363636363</v>
      </c>
    </row>
    <row r="46" spans="1:17" x14ac:dyDescent="0.35">
      <c r="A46" s="1">
        <v>340</v>
      </c>
      <c r="B46" s="11" t="s">
        <v>50</v>
      </c>
      <c r="C46" s="15">
        <v>0</v>
      </c>
      <c r="D46" s="24">
        <f t="shared" si="5"/>
        <v>0</v>
      </c>
      <c r="E46" s="15">
        <f t="shared" si="6"/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</row>
    <row r="47" spans="1:17" x14ac:dyDescent="0.35">
      <c r="A47" s="1">
        <v>340</v>
      </c>
      <c r="B47" s="11" t="s">
        <v>51</v>
      </c>
      <c r="C47" s="15">
        <v>5000</v>
      </c>
      <c r="D47" s="24">
        <f t="shared" si="5"/>
        <v>0</v>
      </c>
      <c r="E47" s="15">
        <f t="shared" si="6"/>
        <v>5000</v>
      </c>
      <c r="F47" s="23">
        <v>2000</v>
      </c>
      <c r="G47" s="23">
        <v>1500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1000</v>
      </c>
      <c r="N47" s="23">
        <v>0</v>
      </c>
      <c r="O47" s="23">
        <v>0</v>
      </c>
      <c r="P47" s="23">
        <v>500</v>
      </c>
      <c r="Q47" s="23">
        <v>0</v>
      </c>
    </row>
    <row r="48" spans="1:17" x14ac:dyDescent="0.35">
      <c r="A48" s="1">
        <v>352</v>
      </c>
      <c r="B48" s="11" t="s">
        <v>52</v>
      </c>
      <c r="C48" s="15">
        <v>23940</v>
      </c>
      <c r="D48" s="24">
        <f t="shared" si="5"/>
        <v>0</v>
      </c>
      <c r="E48" s="15">
        <f t="shared" si="6"/>
        <v>23940</v>
      </c>
      <c r="F48" s="23">
        <f>23940/12</f>
        <v>1995</v>
      </c>
      <c r="G48" s="23">
        <f t="shared" ref="G48:Q48" si="23">23940/12</f>
        <v>1995</v>
      </c>
      <c r="H48" s="23">
        <f t="shared" si="23"/>
        <v>1995</v>
      </c>
      <c r="I48" s="23">
        <f t="shared" si="23"/>
        <v>1995</v>
      </c>
      <c r="J48" s="23">
        <f t="shared" si="23"/>
        <v>1995</v>
      </c>
      <c r="K48" s="23">
        <f t="shared" si="23"/>
        <v>1995</v>
      </c>
      <c r="L48" s="23">
        <f t="shared" si="23"/>
        <v>1995</v>
      </c>
      <c r="M48" s="23">
        <f t="shared" si="23"/>
        <v>1995</v>
      </c>
      <c r="N48" s="23">
        <f t="shared" si="23"/>
        <v>1995</v>
      </c>
      <c r="O48" s="23">
        <f t="shared" si="23"/>
        <v>1995</v>
      </c>
      <c r="P48" s="23">
        <f t="shared" si="23"/>
        <v>1995</v>
      </c>
      <c r="Q48" s="23">
        <f t="shared" si="23"/>
        <v>1995</v>
      </c>
    </row>
    <row r="49" spans="1:17" x14ac:dyDescent="0.35">
      <c r="A49" s="1">
        <v>350</v>
      </c>
      <c r="B49" s="11" t="s">
        <v>53</v>
      </c>
      <c r="C49" s="15">
        <v>15000</v>
      </c>
      <c r="D49" s="24">
        <f t="shared" si="5"/>
        <v>0</v>
      </c>
      <c r="E49" s="15">
        <f t="shared" si="6"/>
        <v>15000</v>
      </c>
      <c r="F49" s="23">
        <v>7500</v>
      </c>
      <c r="G49" s="23">
        <v>5000</v>
      </c>
      <c r="H49" s="23">
        <v>1500</v>
      </c>
      <c r="I49" s="23">
        <v>0</v>
      </c>
      <c r="J49" s="23">
        <v>0</v>
      </c>
      <c r="K49" s="23">
        <v>0</v>
      </c>
      <c r="L49" s="23">
        <v>800</v>
      </c>
      <c r="M49" s="23">
        <v>0</v>
      </c>
      <c r="N49" s="23">
        <v>200</v>
      </c>
      <c r="O49" s="23">
        <v>0</v>
      </c>
      <c r="P49" s="23">
        <v>0</v>
      </c>
      <c r="Q49" s="23">
        <v>0</v>
      </c>
    </row>
    <row r="50" spans="1:17" x14ac:dyDescent="0.35">
      <c r="A50" s="1">
        <v>591</v>
      </c>
      <c r="B50" s="11" t="s">
        <v>54</v>
      </c>
      <c r="C50" s="15">
        <v>51927</v>
      </c>
      <c r="D50" s="24">
        <f t="shared" si="5"/>
        <v>0</v>
      </c>
      <c r="E50" s="15">
        <f t="shared" si="6"/>
        <v>51927</v>
      </c>
      <c r="F50" s="23">
        <f>51927/12</f>
        <v>4327.25</v>
      </c>
      <c r="G50" s="23">
        <f t="shared" ref="G50:Q50" si="24">51927/12</f>
        <v>4327.25</v>
      </c>
      <c r="H50" s="23">
        <f t="shared" si="24"/>
        <v>4327.25</v>
      </c>
      <c r="I50" s="23">
        <f t="shared" si="24"/>
        <v>4327.25</v>
      </c>
      <c r="J50" s="23">
        <f t="shared" si="24"/>
        <v>4327.25</v>
      </c>
      <c r="K50" s="23">
        <f t="shared" si="24"/>
        <v>4327.25</v>
      </c>
      <c r="L50" s="23">
        <f t="shared" si="24"/>
        <v>4327.25</v>
      </c>
      <c r="M50" s="23">
        <f t="shared" si="24"/>
        <v>4327.25</v>
      </c>
      <c r="N50" s="23">
        <f t="shared" si="24"/>
        <v>4327.25</v>
      </c>
      <c r="O50" s="23">
        <f t="shared" si="24"/>
        <v>4327.25</v>
      </c>
      <c r="P50" s="23">
        <f t="shared" si="24"/>
        <v>4327.25</v>
      </c>
      <c r="Q50" s="23">
        <f t="shared" si="24"/>
        <v>4327.25</v>
      </c>
    </row>
    <row r="51" spans="1:17" x14ac:dyDescent="0.35">
      <c r="A51" s="1">
        <v>320</v>
      </c>
      <c r="B51" s="11" t="s">
        <v>55</v>
      </c>
      <c r="C51" s="15">
        <v>20771</v>
      </c>
      <c r="D51" s="24">
        <f t="shared" si="5"/>
        <v>0</v>
      </c>
      <c r="E51" s="15">
        <f t="shared" si="6"/>
        <v>20771</v>
      </c>
      <c r="F51" s="23">
        <f>20771/12</f>
        <v>1730.9166666666667</v>
      </c>
      <c r="G51" s="23">
        <f t="shared" ref="G51:Q51" si="25">20771/12</f>
        <v>1730.9166666666667</v>
      </c>
      <c r="H51" s="23">
        <f t="shared" si="25"/>
        <v>1730.9166666666667</v>
      </c>
      <c r="I51" s="23">
        <f t="shared" si="25"/>
        <v>1730.9166666666667</v>
      </c>
      <c r="J51" s="23">
        <f t="shared" si="25"/>
        <v>1730.9166666666667</v>
      </c>
      <c r="K51" s="23">
        <f t="shared" si="25"/>
        <v>1730.9166666666667</v>
      </c>
      <c r="L51" s="23">
        <f t="shared" si="25"/>
        <v>1730.9166666666667</v>
      </c>
      <c r="M51" s="23">
        <f t="shared" si="25"/>
        <v>1730.9166666666667</v>
      </c>
      <c r="N51" s="23">
        <f t="shared" si="25"/>
        <v>1730.9166666666667</v>
      </c>
      <c r="O51" s="23">
        <f t="shared" si="25"/>
        <v>1730.9166666666667</v>
      </c>
      <c r="P51" s="23">
        <f t="shared" si="25"/>
        <v>1730.9166666666667</v>
      </c>
      <c r="Q51" s="23">
        <f t="shared" si="25"/>
        <v>1730.9166666666667</v>
      </c>
    </row>
    <row r="52" spans="1:17" ht="29" x14ac:dyDescent="0.35">
      <c r="A52" s="1">
        <v>330</v>
      </c>
      <c r="B52" s="180" t="s">
        <v>56</v>
      </c>
      <c r="C52" s="15">
        <v>20771</v>
      </c>
      <c r="D52" s="24">
        <f t="shared" si="5"/>
        <v>0</v>
      </c>
      <c r="E52" s="15">
        <f t="shared" si="6"/>
        <v>20771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20771</v>
      </c>
    </row>
    <row r="53" spans="1:17" x14ac:dyDescent="0.35">
      <c r="A53" s="1">
        <v>533</v>
      </c>
      <c r="B53" s="11" t="s">
        <v>57</v>
      </c>
      <c r="C53" s="15">
        <f>25000-C54</f>
        <v>8000</v>
      </c>
      <c r="D53" s="24">
        <f t="shared" si="5"/>
        <v>0</v>
      </c>
      <c r="E53" s="15">
        <f t="shared" si="6"/>
        <v>7999.9999999999982</v>
      </c>
      <c r="F53" s="23"/>
      <c r="G53" s="23">
        <f>8000/11</f>
        <v>727.27272727272725</v>
      </c>
      <c r="H53" s="23">
        <f t="shared" ref="H53:Q53" si="26">8000/11</f>
        <v>727.27272727272725</v>
      </c>
      <c r="I53" s="23">
        <f t="shared" si="26"/>
        <v>727.27272727272725</v>
      </c>
      <c r="J53" s="23">
        <f t="shared" si="26"/>
        <v>727.27272727272725</v>
      </c>
      <c r="K53" s="23">
        <f t="shared" si="26"/>
        <v>727.27272727272725</v>
      </c>
      <c r="L53" s="23">
        <f t="shared" si="26"/>
        <v>727.27272727272725</v>
      </c>
      <c r="M53" s="23">
        <f t="shared" si="26"/>
        <v>727.27272727272725</v>
      </c>
      <c r="N53" s="23">
        <f t="shared" si="26"/>
        <v>727.27272727272725</v>
      </c>
      <c r="O53" s="23">
        <f t="shared" si="26"/>
        <v>727.27272727272725</v>
      </c>
      <c r="P53" s="23">
        <f t="shared" si="26"/>
        <v>727.27272727272725</v>
      </c>
      <c r="Q53" s="23">
        <f t="shared" si="26"/>
        <v>727.27272727272725</v>
      </c>
    </row>
    <row r="54" spans="1:17" x14ac:dyDescent="0.35">
      <c r="A54" s="1">
        <v>535</v>
      </c>
      <c r="B54" s="11" t="s">
        <v>58</v>
      </c>
      <c r="C54" s="15">
        <v>17000</v>
      </c>
      <c r="D54" s="24">
        <f t="shared" si="5"/>
        <v>0</v>
      </c>
      <c r="E54" s="15">
        <f t="shared" si="6"/>
        <v>17000.000000000004</v>
      </c>
      <c r="F54" s="23"/>
      <c r="G54" s="23">
        <f>17000/11</f>
        <v>1545.4545454545455</v>
      </c>
      <c r="H54" s="23">
        <f t="shared" ref="H54:Q54" si="27">17000/11</f>
        <v>1545.4545454545455</v>
      </c>
      <c r="I54" s="23">
        <f t="shared" si="27"/>
        <v>1545.4545454545455</v>
      </c>
      <c r="J54" s="23">
        <f t="shared" si="27"/>
        <v>1545.4545454545455</v>
      </c>
      <c r="K54" s="23">
        <f t="shared" si="27"/>
        <v>1545.4545454545455</v>
      </c>
      <c r="L54" s="23">
        <f t="shared" si="27"/>
        <v>1545.4545454545455</v>
      </c>
      <c r="M54" s="23">
        <f t="shared" si="27"/>
        <v>1545.4545454545455</v>
      </c>
      <c r="N54" s="23">
        <f t="shared" si="27"/>
        <v>1545.4545454545455</v>
      </c>
      <c r="O54" s="23">
        <f t="shared" si="27"/>
        <v>1545.4545454545455</v>
      </c>
      <c r="P54" s="23">
        <f t="shared" si="27"/>
        <v>1545.4545454545455</v>
      </c>
      <c r="Q54" s="23">
        <f t="shared" si="27"/>
        <v>1545.4545454545455</v>
      </c>
    </row>
    <row r="55" spans="1:17" x14ac:dyDescent="0.35">
      <c r="A55" s="1">
        <v>531</v>
      </c>
      <c r="B55" s="11" t="s">
        <v>59</v>
      </c>
      <c r="C55" s="15">
        <v>1250</v>
      </c>
      <c r="D55" s="24">
        <f t="shared" si="5"/>
        <v>0</v>
      </c>
      <c r="E55" s="15">
        <f t="shared" si="6"/>
        <v>1250</v>
      </c>
      <c r="F55" s="23">
        <f>1250/12</f>
        <v>104.16666666666667</v>
      </c>
      <c r="G55" s="23">
        <f t="shared" ref="G55:Q55" si="28">1250/12</f>
        <v>104.16666666666667</v>
      </c>
      <c r="H55" s="23">
        <f t="shared" si="28"/>
        <v>104.16666666666667</v>
      </c>
      <c r="I55" s="23">
        <f t="shared" si="28"/>
        <v>104.16666666666667</v>
      </c>
      <c r="J55" s="23">
        <f t="shared" si="28"/>
        <v>104.16666666666667</v>
      </c>
      <c r="K55" s="23">
        <f t="shared" si="28"/>
        <v>104.16666666666667</v>
      </c>
      <c r="L55" s="23">
        <f t="shared" si="28"/>
        <v>104.16666666666667</v>
      </c>
      <c r="M55" s="23">
        <f t="shared" si="28"/>
        <v>104.16666666666667</v>
      </c>
      <c r="N55" s="23">
        <f t="shared" si="28"/>
        <v>104.16666666666667</v>
      </c>
      <c r="O55" s="23">
        <f t="shared" si="28"/>
        <v>104.16666666666667</v>
      </c>
      <c r="P55" s="23">
        <f t="shared" si="28"/>
        <v>104.16666666666667</v>
      </c>
      <c r="Q55" s="23">
        <f t="shared" si="28"/>
        <v>104.16666666666667</v>
      </c>
    </row>
    <row r="56" spans="1:17" x14ac:dyDescent="0.35">
      <c r="A56" s="1">
        <v>535</v>
      </c>
      <c r="B56" s="11" t="s">
        <v>60</v>
      </c>
      <c r="C56" s="15">
        <v>4000</v>
      </c>
      <c r="D56" s="24">
        <f t="shared" si="5"/>
        <v>0</v>
      </c>
      <c r="E56" s="15">
        <f t="shared" si="6"/>
        <v>4000</v>
      </c>
      <c r="F56" s="23">
        <v>0</v>
      </c>
      <c r="G56" s="23">
        <v>0</v>
      </c>
      <c r="H56" s="23">
        <v>3500</v>
      </c>
      <c r="I56" s="23">
        <v>0</v>
      </c>
      <c r="J56" s="23">
        <v>0</v>
      </c>
      <c r="K56" s="23">
        <v>0</v>
      </c>
      <c r="L56" s="23">
        <v>500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</row>
    <row r="57" spans="1:17" x14ac:dyDescent="0.35">
      <c r="A57" s="1">
        <v>443</v>
      </c>
      <c r="B57" s="11" t="s">
        <v>61</v>
      </c>
      <c r="C57" s="15">
        <v>50000</v>
      </c>
      <c r="D57" s="24">
        <f t="shared" si="5"/>
        <v>0</v>
      </c>
      <c r="E57" s="15">
        <f t="shared" si="6"/>
        <v>49999.999999999993</v>
      </c>
      <c r="F57" s="23">
        <v>0</v>
      </c>
      <c r="G57" s="23">
        <f>50000/11</f>
        <v>4545.454545454545</v>
      </c>
      <c r="H57" s="23">
        <f t="shared" ref="H57:Q57" si="29">50000/11</f>
        <v>4545.454545454545</v>
      </c>
      <c r="I57" s="23">
        <f t="shared" si="29"/>
        <v>4545.454545454545</v>
      </c>
      <c r="J57" s="23">
        <f t="shared" si="29"/>
        <v>4545.454545454545</v>
      </c>
      <c r="K57" s="23">
        <f t="shared" si="29"/>
        <v>4545.454545454545</v>
      </c>
      <c r="L57" s="23">
        <f t="shared" si="29"/>
        <v>4545.454545454545</v>
      </c>
      <c r="M57" s="23">
        <f t="shared" si="29"/>
        <v>4545.454545454545</v>
      </c>
      <c r="N57" s="23">
        <f t="shared" si="29"/>
        <v>4545.454545454545</v>
      </c>
      <c r="O57" s="23">
        <f t="shared" si="29"/>
        <v>4545.454545454545</v>
      </c>
      <c r="P57" s="23">
        <f t="shared" si="29"/>
        <v>4545.454545454545</v>
      </c>
      <c r="Q57" s="23">
        <f t="shared" si="29"/>
        <v>4545.454545454545</v>
      </c>
    </row>
    <row r="58" spans="1:17" x14ac:dyDescent="0.35">
      <c r="A58" s="1">
        <v>651</v>
      </c>
      <c r="B58" s="11" t="s">
        <v>62</v>
      </c>
      <c r="C58" s="15">
        <v>4000</v>
      </c>
      <c r="D58" s="24">
        <f t="shared" si="5"/>
        <v>0</v>
      </c>
      <c r="E58" s="15">
        <f t="shared" si="6"/>
        <v>4000</v>
      </c>
      <c r="F58" s="23">
        <v>0</v>
      </c>
      <c r="G58" s="23">
        <v>4000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</row>
    <row r="59" spans="1:17" x14ac:dyDescent="0.35">
      <c r="A59" s="1" t="s">
        <v>96</v>
      </c>
      <c r="B59" s="11" t="s">
        <v>95</v>
      </c>
      <c r="C59" s="15">
        <v>40000</v>
      </c>
      <c r="D59" s="24">
        <f t="shared" si="5"/>
        <v>0</v>
      </c>
      <c r="E59" s="15">
        <f t="shared" si="6"/>
        <v>40000</v>
      </c>
      <c r="F59" s="23">
        <v>0</v>
      </c>
      <c r="G59" s="23">
        <v>0</v>
      </c>
      <c r="H59" s="23">
        <v>30000</v>
      </c>
      <c r="I59" s="23">
        <v>0</v>
      </c>
      <c r="J59" s="23">
        <v>0</v>
      </c>
      <c r="K59" s="23">
        <v>0</v>
      </c>
      <c r="L59" s="23">
        <v>10000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</row>
    <row r="60" spans="1:17" x14ac:dyDescent="0.35">
      <c r="A60" s="1">
        <v>570</v>
      </c>
      <c r="B60" s="11" t="s">
        <v>64</v>
      </c>
      <c r="C60" s="15">
        <v>243675</v>
      </c>
      <c r="D60" s="24">
        <f t="shared" si="5"/>
        <v>0</v>
      </c>
      <c r="E60" s="15">
        <f t="shared" si="6"/>
        <v>243675</v>
      </c>
      <c r="F60" s="23">
        <v>0</v>
      </c>
      <c r="G60" s="23">
        <f>(2.5*(570*0.95)*15)</f>
        <v>20306.25</v>
      </c>
      <c r="H60" s="23">
        <f>(2.5*(570*0.95)*20)</f>
        <v>27075</v>
      </c>
      <c r="I60" s="23">
        <f>(2.5*(570*0.95)*20)</f>
        <v>27075</v>
      </c>
      <c r="J60" s="23">
        <f>(2.5*(570*0.95)*18)</f>
        <v>24367.5</v>
      </c>
      <c r="K60" s="23">
        <f>(2.5*(570*0.95)*12)</f>
        <v>16245</v>
      </c>
      <c r="L60" s="23">
        <f>(2.5*(570*0.95)*18)</f>
        <v>24367.5</v>
      </c>
      <c r="M60" s="23">
        <f>(2.5*(570*0.95)*19)</f>
        <v>25721.25</v>
      </c>
      <c r="N60" s="23">
        <f>(2.5*(570*0.95)*20)</f>
        <v>27075</v>
      </c>
      <c r="O60" s="23">
        <f>(2.5*(570*0.95)*18)</f>
        <v>24367.5</v>
      </c>
      <c r="P60" s="23">
        <f>(2.5*(570*0.95)*20)</f>
        <v>27075</v>
      </c>
      <c r="Q60" s="23">
        <v>0</v>
      </c>
    </row>
    <row r="61" spans="1:17" x14ac:dyDescent="0.35">
      <c r="A61" s="1">
        <v>580</v>
      </c>
      <c r="B61" s="11" t="s">
        <v>65</v>
      </c>
      <c r="C61" s="15">
        <v>2000</v>
      </c>
      <c r="D61" s="24">
        <f t="shared" si="5"/>
        <v>0</v>
      </c>
      <c r="E61" s="15">
        <f t="shared" si="6"/>
        <v>2000</v>
      </c>
      <c r="F61" s="23">
        <v>800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800</v>
      </c>
      <c r="N61" s="23">
        <v>400</v>
      </c>
      <c r="O61" s="23">
        <v>0</v>
      </c>
      <c r="P61" s="23">
        <v>0</v>
      </c>
      <c r="Q61" s="23">
        <v>0</v>
      </c>
    </row>
    <row r="62" spans="1:17" x14ac:dyDescent="0.35">
      <c r="A62" s="1">
        <v>340</v>
      </c>
      <c r="B62" s="11" t="s">
        <v>66</v>
      </c>
      <c r="C62" s="15">
        <v>2520</v>
      </c>
      <c r="D62" s="24">
        <f t="shared" si="5"/>
        <v>0</v>
      </c>
      <c r="E62" s="15">
        <f t="shared" si="6"/>
        <v>2520</v>
      </c>
      <c r="F62" s="23">
        <v>1800</v>
      </c>
      <c r="G62" s="23">
        <v>500</v>
      </c>
      <c r="H62" s="23">
        <v>120</v>
      </c>
      <c r="I62" s="23">
        <v>0</v>
      </c>
      <c r="J62" s="23">
        <v>0</v>
      </c>
      <c r="K62" s="23">
        <v>0</v>
      </c>
      <c r="L62" s="23">
        <v>100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</row>
    <row r="63" spans="1:17" x14ac:dyDescent="0.35">
      <c r="A63" s="7">
        <v>810</v>
      </c>
      <c r="B63" s="11" t="s">
        <v>67</v>
      </c>
      <c r="C63" s="15">
        <v>5000</v>
      </c>
      <c r="D63" s="24">
        <f t="shared" si="5"/>
        <v>0</v>
      </c>
      <c r="E63" s="15">
        <f t="shared" si="6"/>
        <v>5000</v>
      </c>
      <c r="F63" s="23">
        <v>0</v>
      </c>
      <c r="G63" s="23">
        <v>0</v>
      </c>
      <c r="H63" s="23">
        <v>3000</v>
      </c>
      <c r="I63" s="23">
        <v>0</v>
      </c>
      <c r="J63" s="23">
        <v>0</v>
      </c>
      <c r="K63" s="23">
        <v>0</v>
      </c>
      <c r="L63" s="23">
        <v>2000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</row>
    <row r="64" spans="1:17" x14ac:dyDescent="0.35">
      <c r="A64" s="1">
        <v>900</v>
      </c>
      <c r="B64" s="11" t="s">
        <v>68</v>
      </c>
      <c r="C64" s="15">
        <v>1000</v>
      </c>
      <c r="D64" s="24">
        <f t="shared" si="5"/>
        <v>0</v>
      </c>
      <c r="E64" s="15">
        <f t="shared" si="6"/>
        <v>1000</v>
      </c>
      <c r="F64" s="23">
        <v>200</v>
      </c>
      <c r="G64" s="23">
        <v>100</v>
      </c>
      <c r="H64" s="23">
        <v>0</v>
      </c>
      <c r="I64" s="23">
        <v>0</v>
      </c>
      <c r="J64" s="23">
        <v>200</v>
      </c>
      <c r="K64" s="23">
        <v>150</v>
      </c>
      <c r="L64" s="23">
        <v>0</v>
      </c>
      <c r="M64" s="23">
        <v>300</v>
      </c>
      <c r="N64" s="23">
        <v>0</v>
      </c>
      <c r="O64" s="23">
        <v>50</v>
      </c>
      <c r="P64" s="23">
        <v>0</v>
      </c>
      <c r="Q64" s="23">
        <v>0</v>
      </c>
    </row>
    <row r="65" spans="1:17" x14ac:dyDescent="0.35">
      <c r="A65" s="4"/>
      <c r="B65" s="11" t="s">
        <v>97</v>
      </c>
      <c r="C65" s="15">
        <v>12500</v>
      </c>
      <c r="D65" s="24">
        <f t="shared" si="5"/>
        <v>0</v>
      </c>
      <c r="E65" s="15">
        <f t="shared" si="6"/>
        <v>12499.999999999998</v>
      </c>
      <c r="F65" s="23">
        <f>12500/12</f>
        <v>1041.6666666666667</v>
      </c>
      <c r="G65" s="23">
        <f t="shared" ref="G65:Q65" si="30">12500/12</f>
        <v>1041.6666666666667</v>
      </c>
      <c r="H65" s="23">
        <f t="shared" si="30"/>
        <v>1041.6666666666667</v>
      </c>
      <c r="I65" s="23">
        <f t="shared" si="30"/>
        <v>1041.6666666666667</v>
      </c>
      <c r="J65" s="23">
        <f t="shared" si="30"/>
        <v>1041.6666666666667</v>
      </c>
      <c r="K65" s="23">
        <f t="shared" si="30"/>
        <v>1041.6666666666667</v>
      </c>
      <c r="L65" s="23">
        <f t="shared" si="30"/>
        <v>1041.6666666666667</v>
      </c>
      <c r="M65" s="23">
        <f t="shared" si="30"/>
        <v>1041.6666666666667</v>
      </c>
      <c r="N65" s="23">
        <f t="shared" si="30"/>
        <v>1041.6666666666667</v>
      </c>
      <c r="O65" s="23">
        <f t="shared" si="30"/>
        <v>1041.6666666666667</v>
      </c>
      <c r="P65" s="23">
        <f t="shared" si="30"/>
        <v>1041.6666666666667</v>
      </c>
      <c r="Q65" s="23">
        <f t="shared" si="30"/>
        <v>1041.6666666666667</v>
      </c>
    </row>
    <row r="66" spans="1:17" x14ac:dyDescent="0.35">
      <c r="A66" s="4">
        <v>622</v>
      </c>
      <c r="B66" s="11" t="s">
        <v>70</v>
      </c>
      <c r="C66" s="15">
        <v>91000</v>
      </c>
      <c r="D66" s="24">
        <f t="shared" si="5"/>
        <v>0</v>
      </c>
      <c r="E66" s="15">
        <f t="shared" si="6"/>
        <v>90999.999999999971</v>
      </c>
      <c r="F66" s="23">
        <v>0</v>
      </c>
      <c r="G66" s="23">
        <f>91000/11</f>
        <v>8272.7272727272721</v>
      </c>
      <c r="H66" s="23">
        <f t="shared" ref="H66:Q66" si="31">91000/11</f>
        <v>8272.7272727272721</v>
      </c>
      <c r="I66" s="23">
        <f t="shared" si="31"/>
        <v>8272.7272727272721</v>
      </c>
      <c r="J66" s="23">
        <f t="shared" si="31"/>
        <v>8272.7272727272721</v>
      </c>
      <c r="K66" s="23">
        <f t="shared" si="31"/>
        <v>8272.7272727272721</v>
      </c>
      <c r="L66" s="23">
        <f t="shared" si="31"/>
        <v>8272.7272727272721</v>
      </c>
      <c r="M66" s="23">
        <f t="shared" si="31"/>
        <v>8272.7272727272721</v>
      </c>
      <c r="N66" s="23">
        <f t="shared" si="31"/>
        <v>8272.7272727272721</v>
      </c>
      <c r="O66" s="23">
        <f t="shared" si="31"/>
        <v>8272.7272727272721</v>
      </c>
      <c r="P66" s="23">
        <f t="shared" si="31"/>
        <v>8272.7272727272721</v>
      </c>
      <c r="Q66" s="23">
        <f t="shared" si="31"/>
        <v>8272.7272727272721</v>
      </c>
    </row>
    <row r="67" spans="1:17" x14ac:dyDescent="0.35">
      <c r="A67" s="1">
        <v>490</v>
      </c>
      <c r="B67" s="11" t="s">
        <v>71</v>
      </c>
      <c r="C67" s="15">
        <v>8000</v>
      </c>
      <c r="D67" s="24">
        <f t="shared" si="5"/>
        <v>0</v>
      </c>
      <c r="E67" s="15">
        <f t="shared" si="6"/>
        <v>8000</v>
      </c>
      <c r="F67" s="23">
        <v>6000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2000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</row>
    <row r="68" spans="1:17" x14ac:dyDescent="0.35">
      <c r="A68" s="1">
        <v>422</v>
      </c>
      <c r="B68" s="11" t="s">
        <v>72</v>
      </c>
      <c r="C68" s="15">
        <v>68640</v>
      </c>
      <c r="D68" s="24">
        <f t="shared" si="5"/>
        <v>0</v>
      </c>
      <c r="E68" s="15">
        <f t="shared" si="6"/>
        <v>68640</v>
      </c>
      <c r="F68" s="23">
        <v>0</v>
      </c>
      <c r="G68" s="23">
        <f>68640/11</f>
        <v>6240</v>
      </c>
      <c r="H68" s="23">
        <f t="shared" ref="H68:Q68" si="32">68640/11</f>
        <v>6240</v>
      </c>
      <c r="I68" s="23">
        <f t="shared" si="32"/>
        <v>6240</v>
      </c>
      <c r="J68" s="23">
        <f t="shared" si="32"/>
        <v>6240</v>
      </c>
      <c r="K68" s="23">
        <f t="shared" si="32"/>
        <v>6240</v>
      </c>
      <c r="L68" s="23">
        <f t="shared" si="32"/>
        <v>6240</v>
      </c>
      <c r="M68" s="23">
        <f t="shared" si="32"/>
        <v>6240</v>
      </c>
      <c r="N68" s="23">
        <f t="shared" si="32"/>
        <v>6240</v>
      </c>
      <c r="O68" s="23">
        <f t="shared" si="32"/>
        <v>6240</v>
      </c>
      <c r="P68" s="23">
        <f t="shared" si="32"/>
        <v>6240</v>
      </c>
      <c r="Q68" s="23">
        <f t="shared" si="32"/>
        <v>6240</v>
      </c>
    </row>
    <row r="69" spans="1:17" x14ac:dyDescent="0.35">
      <c r="A69" s="1">
        <v>610</v>
      </c>
      <c r="B69" s="11" t="s">
        <v>73</v>
      </c>
      <c r="C69" s="15">
        <v>8550</v>
      </c>
      <c r="D69" s="24">
        <f t="shared" si="5"/>
        <v>0</v>
      </c>
      <c r="E69" s="15">
        <f t="shared" si="6"/>
        <v>8550</v>
      </c>
      <c r="F69" s="23">
        <v>3000</v>
      </c>
      <c r="G69" s="23">
        <v>1500</v>
      </c>
      <c r="H69" s="23">
        <v>200</v>
      </c>
      <c r="I69" s="23">
        <v>250</v>
      </c>
      <c r="J69" s="23">
        <v>1250</v>
      </c>
      <c r="K69" s="23">
        <v>0</v>
      </c>
      <c r="L69" s="23">
        <v>1500</v>
      </c>
      <c r="M69" s="23">
        <v>250</v>
      </c>
      <c r="N69" s="23">
        <v>250</v>
      </c>
      <c r="O69" s="23">
        <v>250</v>
      </c>
      <c r="P69" s="23">
        <v>100</v>
      </c>
      <c r="Q69" s="23">
        <v>0</v>
      </c>
    </row>
    <row r="70" spans="1:17" x14ac:dyDescent="0.35">
      <c r="A70" s="1" t="s">
        <v>74</v>
      </c>
      <c r="B70" s="11" t="s">
        <v>75</v>
      </c>
      <c r="C70" s="15">
        <v>20000</v>
      </c>
      <c r="D70" s="24">
        <f t="shared" si="5"/>
        <v>0</v>
      </c>
      <c r="E70" s="15">
        <f t="shared" si="6"/>
        <v>20000</v>
      </c>
      <c r="F70" s="23">
        <v>0</v>
      </c>
      <c r="G70" s="23">
        <v>0</v>
      </c>
      <c r="H70" s="23">
        <v>3500</v>
      </c>
      <c r="I70" s="23">
        <v>2500</v>
      </c>
      <c r="J70" s="23">
        <v>500</v>
      </c>
      <c r="K70" s="23">
        <v>1000</v>
      </c>
      <c r="L70" s="23">
        <v>500</v>
      </c>
      <c r="M70" s="23">
        <v>1500</v>
      </c>
      <c r="N70" s="23">
        <v>1000</v>
      </c>
      <c r="O70" s="23">
        <v>1000</v>
      </c>
      <c r="P70" s="23">
        <v>3000</v>
      </c>
      <c r="Q70" s="23">
        <v>5500</v>
      </c>
    </row>
    <row r="71" spans="1:17" x14ac:dyDescent="0.35">
      <c r="A71" s="1">
        <v>420</v>
      </c>
      <c r="B71" s="11" t="s">
        <v>76</v>
      </c>
      <c r="C71" s="15">
        <v>12000</v>
      </c>
      <c r="D71" s="24">
        <f t="shared" si="5"/>
        <v>0</v>
      </c>
      <c r="E71" s="15">
        <f t="shared" si="6"/>
        <v>12000.000000000004</v>
      </c>
      <c r="F71" s="23">
        <v>0</v>
      </c>
      <c r="G71" s="23">
        <f>12000/11</f>
        <v>1090.909090909091</v>
      </c>
      <c r="H71" s="23">
        <f t="shared" ref="H71:Q71" si="33">12000/11</f>
        <v>1090.909090909091</v>
      </c>
      <c r="I71" s="23">
        <f t="shared" si="33"/>
        <v>1090.909090909091</v>
      </c>
      <c r="J71" s="23">
        <f t="shared" si="33"/>
        <v>1090.909090909091</v>
      </c>
      <c r="K71" s="23">
        <f t="shared" si="33"/>
        <v>1090.909090909091</v>
      </c>
      <c r="L71" s="23">
        <f t="shared" si="33"/>
        <v>1090.909090909091</v>
      </c>
      <c r="M71" s="23">
        <f t="shared" si="33"/>
        <v>1090.909090909091</v>
      </c>
      <c r="N71" s="23">
        <f t="shared" si="33"/>
        <v>1090.909090909091</v>
      </c>
      <c r="O71" s="23">
        <f t="shared" si="33"/>
        <v>1090.909090909091</v>
      </c>
      <c r="P71" s="23">
        <f t="shared" si="33"/>
        <v>1090.909090909091</v>
      </c>
      <c r="Q71" s="23">
        <f t="shared" si="33"/>
        <v>1090.909090909091</v>
      </c>
    </row>
    <row r="72" spans="1:17" x14ac:dyDescent="0.35">
      <c r="A72" s="3">
        <v>431</v>
      </c>
      <c r="B72" s="11" t="s">
        <v>77</v>
      </c>
      <c r="C72" s="15">
        <v>10000</v>
      </c>
      <c r="D72" s="24">
        <f t="shared" si="5"/>
        <v>0</v>
      </c>
      <c r="E72" s="15">
        <f t="shared" si="6"/>
        <v>10000.000000000002</v>
      </c>
      <c r="F72" s="23">
        <v>0</v>
      </c>
      <c r="G72" s="23">
        <f>10000/11</f>
        <v>909.09090909090912</v>
      </c>
      <c r="H72" s="23">
        <f t="shared" ref="H72:Q72" si="34">10000/11</f>
        <v>909.09090909090912</v>
      </c>
      <c r="I72" s="23">
        <f t="shared" si="34"/>
        <v>909.09090909090912</v>
      </c>
      <c r="J72" s="23">
        <f t="shared" si="34"/>
        <v>909.09090909090912</v>
      </c>
      <c r="K72" s="23">
        <f t="shared" si="34"/>
        <v>909.09090909090912</v>
      </c>
      <c r="L72" s="23">
        <f t="shared" si="34"/>
        <v>909.09090909090912</v>
      </c>
      <c r="M72" s="23">
        <f t="shared" si="34"/>
        <v>909.09090909090912</v>
      </c>
      <c r="N72" s="23">
        <f t="shared" si="34"/>
        <v>909.09090909090912</v>
      </c>
      <c r="O72" s="23">
        <f t="shared" si="34"/>
        <v>909.09090909090912</v>
      </c>
      <c r="P72" s="23">
        <f t="shared" si="34"/>
        <v>909.09090909090912</v>
      </c>
      <c r="Q72" s="23">
        <f t="shared" si="34"/>
        <v>909.09090909090912</v>
      </c>
    </row>
    <row r="73" spans="1:17" ht="15" thickBot="1" x14ac:dyDescent="0.4">
      <c r="A73" s="1"/>
      <c r="B73" s="18" t="s">
        <v>92</v>
      </c>
      <c r="C73" s="15">
        <v>820000</v>
      </c>
      <c r="D73" s="24">
        <f t="shared" ref="D73" si="35">E73-C73</f>
        <v>0</v>
      </c>
      <c r="E73" s="15">
        <f t="shared" ref="E73" si="36">SUM(F73:Q73)</f>
        <v>820000.00000000012</v>
      </c>
      <c r="F73" s="23">
        <v>0</v>
      </c>
      <c r="G73" s="23">
        <f>820000/11</f>
        <v>74545.454545454544</v>
      </c>
      <c r="H73" s="23">
        <f t="shared" ref="H73:Q73" si="37">820000/11</f>
        <v>74545.454545454544</v>
      </c>
      <c r="I73" s="23">
        <f t="shared" si="37"/>
        <v>74545.454545454544</v>
      </c>
      <c r="J73" s="23">
        <f t="shared" si="37"/>
        <v>74545.454545454544</v>
      </c>
      <c r="K73" s="23">
        <f t="shared" si="37"/>
        <v>74545.454545454544</v>
      </c>
      <c r="L73" s="23">
        <f t="shared" si="37"/>
        <v>74545.454545454544</v>
      </c>
      <c r="M73" s="23">
        <f t="shared" si="37"/>
        <v>74545.454545454544</v>
      </c>
      <c r="N73" s="23">
        <f t="shared" si="37"/>
        <v>74545.454545454544</v>
      </c>
      <c r="O73" s="23">
        <f t="shared" si="37"/>
        <v>74545.454545454544</v>
      </c>
      <c r="P73" s="23">
        <f t="shared" si="37"/>
        <v>74545.454545454544</v>
      </c>
      <c r="Q73" s="23">
        <f t="shared" si="37"/>
        <v>74545.454545454544</v>
      </c>
    </row>
    <row r="74" spans="1:17" ht="15" thickBot="1" x14ac:dyDescent="0.4">
      <c r="A74" s="8"/>
      <c r="B74" s="9" t="s">
        <v>78</v>
      </c>
      <c r="C74" s="17">
        <f>SUM(C11:C73)</f>
        <v>4409186</v>
      </c>
      <c r="D74" s="17">
        <f t="shared" ref="D74:Q74" si="38">SUM(D11:D73)</f>
        <v>-145279.16666666683</v>
      </c>
      <c r="E74" s="17">
        <f t="shared" si="38"/>
        <v>4263906.833333333</v>
      </c>
      <c r="F74" s="17">
        <f t="shared" si="38"/>
        <v>107619.11666666668</v>
      </c>
      <c r="G74" s="17">
        <f t="shared" si="38"/>
        <v>373923.86060606065</v>
      </c>
      <c r="H74" s="17">
        <f t="shared" si="38"/>
        <v>404262.61060606065</v>
      </c>
      <c r="I74" s="17">
        <f t="shared" si="38"/>
        <v>363592.61060606065</v>
      </c>
      <c r="J74" s="17">
        <f t="shared" si="38"/>
        <v>373485.11060606065</v>
      </c>
      <c r="K74" s="17">
        <f t="shared" si="38"/>
        <v>367762.61060606065</v>
      </c>
      <c r="L74" s="17">
        <f t="shared" si="38"/>
        <v>395285.11060606065</v>
      </c>
      <c r="M74" s="17">
        <f t="shared" si="38"/>
        <v>377988.86060606065</v>
      </c>
      <c r="N74" s="17">
        <f t="shared" si="38"/>
        <v>377242.61060606065</v>
      </c>
      <c r="O74" s="17">
        <f t="shared" si="38"/>
        <v>373495.11060606065</v>
      </c>
      <c r="P74" s="17">
        <f t="shared" si="38"/>
        <v>378230.61060606065</v>
      </c>
      <c r="Q74" s="17">
        <f t="shared" si="38"/>
        <v>371018.6106060606</v>
      </c>
    </row>
    <row r="75" spans="1:17" x14ac:dyDescent="0.35">
      <c r="C75" s="14">
        <f>C8-C74</f>
        <v>3572</v>
      </c>
      <c r="D75" s="14"/>
      <c r="E75" s="29" t="s">
        <v>98</v>
      </c>
      <c r="F75" s="23">
        <f t="shared" ref="F75:Q75" si="39">F8-F74</f>
        <v>233368.21666666662</v>
      </c>
      <c r="G75" s="23">
        <f t="shared" si="39"/>
        <v>-8569.0272727273405</v>
      </c>
      <c r="H75" s="23">
        <f t="shared" si="39"/>
        <v>-30785.27727272734</v>
      </c>
      <c r="I75" s="23">
        <f t="shared" si="39"/>
        <v>9884.7227272726595</v>
      </c>
      <c r="J75" s="23">
        <f t="shared" si="39"/>
        <v>6243.2227272726595</v>
      </c>
      <c r="K75" s="23">
        <f t="shared" si="39"/>
        <v>-7281.2772727273405</v>
      </c>
      <c r="L75" s="23">
        <f t="shared" si="39"/>
        <v>-25056.77727272734</v>
      </c>
      <c r="M75" s="23">
        <f t="shared" si="39"/>
        <v>-6136.0272727273405</v>
      </c>
      <c r="N75" s="23">
        <f t="shared" si="39"/>
        <v>5734.7227272726595</v>
      </c>
      <c r="O75" s="23">
        <f t="shared" si="39"/>
        <v>-3266.7772727273405</v>
      </c>
      <c r="P75" s="23">
        <f t="shared" si="39"/>
        <v>-4753.2772727273405</v>
      </c>
      <c r="Q75" s="23">
        <f t="shared" si="39"/>
        <v>-20531.277272727282</v>
      </c>
    </row>
    <row r="76" spans="1:17" x14ac:dyDescent="0.35">
      <c r="E76" s="30" t="s">
        <v>99</v>
      </c>
      <c r="F76" s="28">
        <f>F75</f>
        <v>233368.21666666662</v>
      </c>
      <c r="G76" s="28">
        <f>F76+G75</f>
        <v>224799.18939393928</v>
      </c>
      <c r="H76" s="28">
        <f t="shared" ref="H76:Q76" si="40">G76+H75</f>
        <v>194013.91212121194</v>
      </c>
      <c r="I76" s="28">
        <f t="shared" si="40"/>
        <v>203898.63484848459</v>
      </c>
      <c r="J76" s="28">
        <f t="shared" si="40"/>
        <v>210141.85757575725</v>
      </c>
      <c r="K76" s="28">
        <f t="shared" si="40"/>
        <v>202860.58030302991</v>
      </c>
      <c r="L76" s="28">
        <f t="shared" si="40"/>
        <v>177803.80303030257</v>
      </c>
      <c r="M76" s="28">
        <f t="shared" si="40"/>
        <v>171667.77575757523</v>
      </c>
      <c r="N76" s="28">
        <f t="shared" si="40"/>
        <v>177402.49848484789</v>
      </c>
      <c r="O76" s="28">
        <f t="shared" si="40"/>
        <v>174135.72121212055</v>
      </c>
      <c r="P76" s="28">
        <f t="shared" si="40"/>
        <v>169382.44393939321</v>
      </c>
      <c r="Q76" s="28">
        <f t="shared" si="40"/>
        <v>148851.16666666593</v>
      </c>
    </row>
    <row r="77" spans="1:17" x14ac:dyDescent="0.35">
      <c r="E77" s="30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</row>
    <row r="78" spans="1:17" ht="42" customHeight="1" x14ac:dyDescent="0.45">
      <c r="B78" s="183" t="s">
        <v>206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</row>
  </sheetData>
  <mergeCells count="1">
    <mergeCell ref="B78:P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4"/>
  <sheetViews>
    <sheetView topLeftCell="A42" workbookViewId="0">
      <selection activeCell="A30" sqref="A30"/>
    </sheetView>
  </sheetViews>
  <sheetFormatPr defaultColWidth="8.90625" defaultRowHeight="14.5" x14ac:dyDescent="0.35"/>
  <cols>
    <col min="1" max="1" width="55.453125" style="32" customWidth="1"/>
    <col min="2" max="8" width="18.6328125" style="168" customWidth="1"/>
    <col min="9" max="9" width="11.6328125" style="32" bestFit="1" customWidth="1"/>
    <col min="10" max="11" width="11.08984375" style="32" bestFit="1" customWidth="1"/>
    <col min="12" max="15" width="8.90625" style="32" customWidth="1"/>
    <col min="16" max="16" width="8.1796875" style="32" customWidth="1"/>
    <col min="17" max="17" width="8.90625" style="32"/>
    <col min="26" max="16384" width="8.90625" style="32"/>
  </cols>
  <sheetData>
    <row r="1" spans="1:18" ht="15" thickBot="1" x14ac:dyDescent="0.4">
      <c r="A1" s="25" t="s">
        <v>100</v>
      </c>
      <c r="B1" s="31" t="s">
        <v>101</v>
      </c>
      <c r="C1" s="31" t="s">
        <v>102</v>
      </c>
      <c r="D1" s="31" t="s">
        <v>103</v>
      </c>
      <c r="E1" s="31" t="s">
        <v>104</v>
      </c>
      <c r="F1" s="31" t="s">
        <v>105</v>
      </c>
      <c r="G1" s="31" t="s">
        <v>106</v>
      </c>
      <c r="H1" s="31" t="s">
        <v>107</v>
      </c>
      <c r="J1" s="25">
        <v>2022</v>
      </c>
      <c r="K1" s="25">
        <v>2023</v>
      </c>
      <c r="L1" s="25">
        <v>2024</v>
      </c>
      <c r="M1" s="33">
        <v>2025</v>
      </c>
      <c r="N1" s="33">
        <v>2026</v>
      </c>
      <c r="O1" s="33">
        <v>2027</v>
      </c>
    </row>
    <row r="2" spans="1:18" x14ac:dyDescent="0.35">
      <c r="A2" s="34" t="s">
        <v>108</v>
      </c>
      <c r="B2" s="35">
        <v>0</v>
      </c>
      <c r="C2" s="36">
        <f>(6138+1150)</f>
        <v>7288</v>
      </c>
      <c r="D2" s="36">
        <f t="shared" ref="D2:H2" si="0">C2*1.013</f>
        <v>7382.7439999999997</v>
      </c>
      <c r="E2" s="36">
        <f t="shared" si="0"/>
        <v>7478.7196719999993</v>
      </c>
      <c r="F2" s="36">
        <f t="shared" si="0"/>
        <v>7575.9430277359988</v>
      </c>
      <c r="G2" s="36">
        <f t="shared" si="0"/>
        <v>7674.4302870965657</v>
      </c>
      <c r="H2" s="35">
        <f t="shared" si="0"/>
        <v>7774.1978808288204</v>
      </c>
    </row>
    <row r="3" spans="1:18" x14ac:dyDescent="0.35">
      <c r="A3" s="37" t="s">
        <v>109</v>
      </c>
      <c r="B3" s="38">
        <f t="shared" ref="B3" si="1">SUM(B4:B16)</f>
        <v>0</v>
      </c>
      <c r="C3" s="39">
        <f t="shared" ref="C3:H3" si="2">SUM(C4:C16)</f>
        <v>570</v>
      </c>
      <c r="D3" s="39">
        <f t="shared" si="2"/>
        <v>790</v>
      </c>
      <c r="E3" s="39">
        <f t="shared" si="2"/>
        <v>1010</v>
      </c>
      <c r="F3" s="39">
        <f t="shared" si="2"/>
        <v>1270</v>
      </c>
      <c r="G3" s="39">
        <f t="shared" si="2"/>
        <v>1475</v>
      </c>
      <c r="H3" s="38">
        <f t="shared" si="2"/>
        <v>1650</v>
      </c>
      <c r="I3" s="40"/>
      <c r="Q3" s="41"/>
    </row>
    <row r="4" spans="1:18" x14ac:dyDescent="0.35">
      <c r="A4" s="42" t="s">
        <v>110</v>
      </c>
      <c r="B4" s="43">
        <v>0</v>
      </c>
      <c r="C4" s="44">
        <v>100</v>
      </c>
      <c r="D4" s="44">
        <v>125</v>
      </c>
      <c r="E4" s="44">
        <v>125</v>
      </c>
      <c r="F4" s="44">
        <v>125</v>
      </c>
      <c r="G4" s="44">
        <v>125</v>
      </c>
      <c r="H4" s="43">
        <v>125</v>
      </c>
      <c r="I4" s="40"/>
      <c r="J4" s="45">
        <f>C4/25</f>
        <v>4</v>
      </c>
      <c r="K4" s="45">
        <f t="shared" ref="K4:O9" si="3">D4/25</f>
        <v>5</v>
      </c>
      <c r="L4" s="45">
        <f t="shared" si="3"/>
        <v>5</v>
      </c>
      <c r="M4" s="45">
        <f t="shared" si="3"/>
        <v>5</v>
      </c>
      <c r="N4" s="45">
        <f t="shared" si="3"/>
        <v>5</v>
      </c>
      <c r="O4" s="45">
        <f t="shared" si="3"/>
        <v>5</v>
      </c>
      <c r="P4" s="45"/>
      <c r="Q4" s="46" t="s">
        <v>102</v>
      </c>
      <c r="R4" s="14">
        <v>42500</v>
      </c>
    </row>
    <row r="5" spans="1:18" x14ac:dyDescent="0.35">
      <c r="A5" s="47" t="s">
        <v>111</v>
      </c>
      <c r="B5" s="43">
        <v>0</v>
      </c>
      <c r="C5" s="44">
        <v>100</v>
      </c>
      <c r="D5" s="44">
        <v>100</v>
      </c>
      <c r="E5" s="44">
        <v>125</v>
      </c>
      <c r="F5" s="44">
        <v>125</v>
      </c>
      <c r="G5" s="44">
        <v>125</v>
      </c>
      <c r="H5" s="43">
        <v>125</v>
      </c>
      <c r="I5" s="40"/>
      <c r="J5" s="45">
        <f t="shared" ref="J5:J9" si="4">C5/25</f>
        <v>4</v>
      </c>
      <c r="K5" s="45">
        <f t="shared" si="3"/>
        <v>4</v>
      </c>
      <c r="L5" s="45">
        <f t="shared" si="3"/>
        <v>5</v>
      </c>
      <c r="M5" s="45">
        <f t="shared" si="3"/>
        <v>5</v>
      </c>
      <c r="N5" s="45">
        <f t="shared" si="3"/>
        <v>5</v>
      </c>
      <c r="O5" s="45">
        <f t="shared" si="3"/>
        <v>5</v>
      </c>
      <c r="P5" s="45"/>
      <c r="Q5" s="46" t="s">
        <v>103</v>
      </c>
      <c r="R5" s="14">
        <f>43200</f>
        <v>43200</v>
      </c>
    </row>
    <row r="6" spans="1:18" x14ac:dyDescent="0.35">
      <c r="A6" s="47" t="s">
        <v>112</v>
      </c>
      <c r="B6" s="43">
        <v>0</v>
      </c>
      <c r="C6" s="44">
        <v>75</v>
      </c>
      <c r="D6" s="44">
        <v>100</v>
      </c>
      <c r="E6" s="44">
        <v>100</v>
      </c>
      <c r="F6" s="44">
        <v>125</v>
      </c>
      <c r="G6" s="44">
        <v>125</v>
      </c>
      <c r="H6" s="43">
        <v>125</v>
      </c>
      <c r="I6" s="40"/>
      <c r="J6" s="45">
        <f t="shared" si="4"/>
        <v>3</v>
      </c>
      <c r="K6" s="45">
        <f t="shared" si="3"/>
        <v>4</v>
      </c>
      <c r="L6" s="45">
        <f t="shared" si="3"/>
        <v>4</v>
      </c>
      <c r="M6" s="45">
        <f t="shared" si="3"/>
        <v>5</v>
      </c>
      <c r="N6" s="45">
        <f t="shared" si="3"/>
        <v>5</v>
      </c>
      <c r="O6" s="45">
        <f t="shared" si="3"/>
        <v>5</v>
      </c>
      <c r="P6" s="45"/>
      <c r="Q6" s="46" t="s">
        <v>104</v>
      </c>
      <c r="R6" s="14">
        <v>43800</v>
      </c>
    </row>
    <row r="7" spans="1:18" x14ac:dyDescent="0.35">
      <c r="A7" s="48" t="s">
        <v>113</v>
      </c>
      <c r="B7" s="43">
        <v>0</v>
      </c>
      <c r="C7" s="44">
        <v>75</v>
      </c>
      <c r="D7" s="44">
        <v>100</v>
      </c>
      <c r="E7" s="44">
        <v>100</v>
      </c>
      <c r="F7" s="44">
        <v>125</v>
      </c>
      <c r="G7" s="44">
        <v>125</v>
      </c>
      <c r="H7" s="43">
        <v>125</v>
      </c>
      <c r="I7" s="40"/>
      <c r="J7" s="45">
        <f t="shared" si="4"/>
        <v>3</v>
      </c>
      <c r="K7" s="45">
        <f t="shared" si="3"/>
        <v>4</v>
      </c>
      <c r="L7" s="45">
        <f t="shared" si="3"/>
        <v>4</v>
      </c>
      <c r="M7" s="45">
        <f t="shared" si="3"/>
        <v>5</v>
      </c>
      <c r="N7" s="45">
        <f t="shared" si="3"/>
        <v>5</v>
      </c>
      <c r="O7" s="45">
        <f t="shared" si="3"/>
        <v>5</v>
      </c>
      <c r="P7" s="45"/>
      <c r="Q7" s="46" t="s">
        <v>105</v>
      </c>
      <c r="R7" s="14">
        <v>44500</v>
      </c>
    </row>
    <row r="8" spans="1:18" x14ac:dyDescent="0.35">
      <c r="A8" s="48" t="s">
        <v>114</v>
      </c>
      <c r="B8" s="43">
        <v>0</v>
      </c>
      <c r="C8" s="44">
        <v>50</v>
      </c>
      <c r="D8" s="44">
        <v>75</v>
      </c>
      <c r="E8" s="44">
        <v>100</v>
      </c>
      <c r="F8" s="44">
        <v>100</v>
      </c>
      <c r="G8" s="44">
        <v>125</v>
      </c>
      <c r="H8" s="43">
        <v>125</v>
      </c>
      <c r="I8" s="40"/>
      <c r="J8" s="45">
        <f t="shared" si="4"/>
        <v>2</v>
      </c>
      <c r="K8" s="45">
        <f t="shared" si="3"/>
        <v>3</v>
      </c>
      <c r="L8" s="45">
        <f t="shared" si="3"/>
        <v>4</v>
      </c>
      <c r="M8" s="45">
        <f t="shared" si="3"/>
        <v>4</v>
      </c>
      <c r="N8" s="45">
        <f t="shared" si="3"/>
        <v>5</v>
      </c>
      <c r="O8" s="45">
        <f t="shared" si="3"/>
        <v>5</v>
      </c>
      <c r="P8" s="45"/>
      <c r="Q8" s="46" t="s">
        <v>106</v>
      </c>
      <c r="R8" s="14">
        <v>45150</v>
      </c>
    </row>
    <row r="9" spans="1:18" x14ac:dyDescent="0.35">
      <c r="A9" s="48" t="s">
        <v>115</v>
      </c>
      <c r="B9" s="43">
        <v>0</v>
      </c>
      <c r="C9" s="44">
        <v>50</v>
      </c>
      <c r="D9" s="44">
        <v>50</v>
      </c>
      <c r="E9" s="44">
        <v>100</v>
      </c>
      <c r="F9" s="44">
        <v>100</v>
      </c>
      <c r="G9" s="44">
        <v>100</v>
      </c>
      <c r="H9" s="43">
        <v>125</v>
      </c>
      <c r="I9" s="40"/>
      <c r="J9" s="45">
        <f t="shared" si="4"/>
        <v>2</v>
      </c>
      <c r="K9" s="45">
        <f t="shared" si="3"/>
        <v>2</v>
      </c>
      <c r="L9" s="45">
        <f t="shared" si="3"/>
        <v>4</v>
      </c>
      <c r="M9" s="45">
        <f t="shared" si="3"/>
        <v>4</v>
      </c>
      <c r="N9" s="45">
        <f t="shared" si="3"/>
        <v>4</v>
      </c>
      <c r="O9" s="45">
        <f t="shared" si="3"/>
        <v>5</v>
      </c>
      <c r="P9" s="45"/>
      <c r="Q9" s="46" t="s">
        <v>107</v>
      </c>
      <c r="R9" s="14">
        <v>45850</v>
      </c>
    </row>
    <row r="10" spans="1:18" x14ac:dyDescent="0.35">
      <c r="A10" s="48" t="s">
        <v>116</v>
      </c>
      <c r="B10" s="43">
        <v>0</v>
      </c>
      <c r="C10" s="44">
        <v>60</v>
      </c>
      <c r="D10" s="44">
        <v>120</v>
      </c>
      <c r="E10" s="44">
        <v>120</v>
      </c>
      <c r="F10" s="44">
        <v>150</v>
      </c>
      <c r="G10" s="44">
        <v>150</v>
      </c>
      <c r="H10" s="43">
        <v>150</v>
      </c>
      <c r="I10" s="40"/>
      <c r="J10" s="45">
        <f>C10/30</f>
        <v>2</v>
      </c>
      <c r="K10" s="45">
        <f t="shared" ref="K10:O16" si="5">D10/30</f>
        <v>4</v>
      </c>
      <c r="L10" s="45">
        <f t="shared" si="5"/>
        <v>4</v>
      </c>
      <c r="M10" s="45">
        <f t="shared" si="5"/>
        <v>5</v>
      </c>
      <c r="N10" s="45">
        <f t="shared" si="5"/>
        <v>5</v>
      </c>
      <c r="O10" s="45">
        <f t="shared" si="5"/>
        <v>5</v>
      </c>
      <c r="P10" s="45"/>
      <c r="Q10" s="41"/>
    </row>
    <row r="11" spans="1:18" x14ac:dyDescent="0.35">
      <c r="A11" s="48" t="s">
        <v>117</v>
      </c>
      <c r="B11" s="43">
        <v>0</v>
      </c>
      <c r="C11" s="44">
        <v>60</v>
      </c>
      <c r="D11" s="44">
        <v>60</v>
      </c>
      <c r="E11" s="44">
        <v>120</v>
      </c>
      <c r="F11" s="44">
        <v>120</v>
      </c>
      <c r="G11" s="44">
        <v>150</v>
      </c>
      <c r="H11" s="43">
        <v>150</v>
      </c>
      <c r="I11" s="40"/>
      <c r="J11" s="45">
        <f t="shared" ref="J11:J16" si="6">C11/30</f>
        <v>2</v>
      </c>
      <c r="K11" s="45">
        <f t="shared" si="5"/>
        <v>2</v>
      </c>
      <c r="L11" s="45">
        <f t="shared" si="5"/>
        <v>4</v>
      </c>
      <c r="M11" s="45">
        <f t="shared" si="5"/>
        <v>4</v>
      </c>
      <c r="N11" s="45">
        <f t="shared" si="5"/>
        <v>5</v>
      </c>
      <c r="O11" s="45">
        <f t="shared" si="5"/>
        <v>5</v>
      </c>
      <c r="P11" s="45"/>
      <c r="Q11" s="46"/>
    </row>
    <row r="12" spans="1:18" x14ac:dyDescent="0.35">
      <c r="A12" s="48" t="s">
        <v>118</v>
      </c>
      <c r="B12" s="43">
        <v>0</v>
      </c>
      <c r="C12" s="44">
        <v>0</v>
      </c>
      <c r="D12" s="44">
        <v>60</v>
      </c>
      <c r="E12" s="44">
        <v>60</v>
      </c>
      <c r="F12" s="44">
        <v>120</v>
      </c>
      <c r="G12" s="44">
        <v>150</v>
      </c>
      <c r="H12" s="43">
        <v>150</v>
      </c>
      <c r="I12" s="40"/>
      <c r="J12" s="45">
        <f t="shared" si="6"/>
        <v>0</v>
      </c>
      <c r="K12" s="45">
        <f t="shared" si="5"/>
        <v>2</v>
      </c>
      <c r="L12" s="45">
        <f t="shared" si="5"/>
        <v>2</v>
      </c>
      <c r="M12" s="45">
        <f t="shared" si="5"/>
        <v>4</v>
      </c>
      <c r="N12" s="45">
        <f t="shared" si="5"/>
        <v>5</v>
      </c>
      <c r="O12" s="45">
        <f t="shared" si="5"/>
        <v>5</v>
      </c>
      <c r="P12" s="45"/>
      <c r="Q12" s="46"/>
    </row>
    <row r="13" spans="1:18" x14ac:dyDescent="0.35">
      <c r="A13" s="48" t="s">
        <v>119</v>
      </c>
      <c r="B13" s="43">
        <v>0</v>
      </c>
      <c r="C13" s="44">
        <v>0</v>
      </c>
      <c r="D13" s="44">
        <v>0</v>
      </c>
      <c r="E13" s="44">
        <v>60</v>
      </c>
      <c r="F13" s="44">
        <v>120</v>
      </c>
      <c r="G13" s="44">
        <v>120</v>
      </c>
      <c r="H13" s="43">
        <v>150</v>
      </c>
      <c r="I13" s="40"/>
      <c r="J13" s="45">
        <f t="shared" si="6"/>
        <v>0</v>
      </c>
      <c r="K13" s="45">
        <f t="shared" si="5"/>
        <v>0</v>
      </c>
      <c r="L13" s="45">
        <f t="shared" si="5"/>
        <v>2</v>
      </c>
      <c r="M13" s="45">
        <f t="shared" si="5"/>
        <v>4</v>
      </c>
      <c r="N13" s="45">
        <f t="shared" si="5"/>
        <v>4</v>
      </c>
      <c r="O13" s="45">
        <f t="shared" si="5"/>
        <v>5</v>
      </c>
      <c r="P13" s="45"/>
      <c r="Q13" s="46"/>
    </row>
    <row r="14" spans="1:18" x14ac:dyDescent="0.35">
      <c r="A14" s="48" t="s">
        <v>120</v>
      </c>
      <c r="B14" s="43">
        <v>0</v>
      </c>
      <c r="C14" s="44">
        <v>0</v>
      </c>
      <c r="D14" s="44">
        <v>0</v>
      </c>
      <c r="E14" s="44">
        <v>0</v>
      </c>
      <c r="F14" s="44">
        <v>60</v>
      </c>
      <c r="G14" s="44">
        <v>120</v>
      </c>
      <c r="H14" s="43">
        <v>120</v>
      </c>
      <c r="I14" s="40"/>
      <c r="J14" s="45">
        <f t="shared" si="6"/>
        <v>0</v>
      </c>
      <c r="K14" s="45">
        <f t="shared" si="5"/>
        <v>0</v>
      </c>
      <c r="L14" s="45">
        <f t="shared" si="5"/>
        <v>0</v>
      </c>
      <c r="M14" s="45">
        <f t="shared" si="5"/>
        <v>2</v>
      </c>
      <c r="N14" s="45">
        <f t="shared" si="5"/>
        <v>4</v>
      </c>
      <c r="O14" s="45">
        <f t="shared" si="5"/>
        <v>4</v>
      </c>
      <c r="P14" s="45"/>
      <c r="Q14" s="49"/>
    </row>
    <row r="15" spans="1:18" x14ac:dyDescent="0.35">
      <c r="A15" s="48" t="s">
        <v>121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60</v>
      </c>
      <c r="H15" s="43">
        <v>120</v>
      </c>
      <c r="I15" s="40"/>
      <c r="J15" s="45">
        <f t="shared" si="6"/>
        <v>0</v>
      </c>
      <c r="K15" s="45">
        <f t="shared" si="5"/>
        <v>0</v>
      </c>
      <c r="L15" s="45">
        <f t="shared" si="5"/>
        <v>0</v>
      </c>
      <c r="M15" s="45">
        <f t="shared" si="5"/>
        <v>0</v>
      </c>
      <c r="N15" s="45">
        <f t="shared" si="5"/>
        <v>2</v>
      </c>
      <c r="O15" s="45">
        <f t="shared" si="5"/>
        <v>4</v>
      </c>
      <c r="P15" s="45"/>
      <c r="Q15" s="45"/>
    </row>
    <row r="16" spans="1:18" x14ac:dyDescent="0.35">
      <c r="A16" s="48" t="s">
        <v>122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3">
        <v>60</v>
      </c>
      <c r="I16" s="40"/>
      <c r="J16" s="45">
        <f t="shared" si="6"/>
        <v>0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2</v>
      </c>
      <c r="P16" s="45"/>
    </row>
    <row r="17" spans="1:16" x14ac:dyDescent="0.35">
      <c r="A17" s="48" t="s">
        <v>109</v>
      </c>
      <c r="B17" s="50">
        <f t="shared" ref="B17:H17" si="7">SUM(B4:B16)</f>
        <v>0</v>
      </c>
      <c r="C17" s="51">
        <f t="shared" si="7"/>
        <v>570</v>
      </c>
      <c r="D17" s="51">
        <f t="shared" si="7"/>
        <v>790</v>
      </c>
      <c r="E17" s="51">
        <f t="shared" si="7"/>
        <v>1010</v>
      </c>
      <c r="F17" s="51">
        <f t="shared" si="7"/>
        <v>1270</v>
      </c>
      <c r="G17" s="51">
        <f t="shared" si="7"/>
        <v>1475</v>
      </c>
      <c r="H17" s="50">
        <f t="shared" si="7"/>
        <v>1650</v>
      </c>
      <c r="I17" s="40"/>
      <c r="J17" s="45">
        <f>SUM(J4:J16)</f>
        <v>22</v>
      </c>
      <c r="K17" s="45">
        <f t="shared" ref="K17:O17" si="8">SUM(K4:K16)</f>
        <v>30</v>
      </c>
      <c r="L17" s="45">
        <f t="shared" si="8"/>
        <v>38</v>
      </c>
      <c r="M17" s="45">
        <f t="shared" si="8"/>
        <v>47</v>
      </c>
      <c r="N17" s="45">
        <f t="shared" si="8"/>
        <v>54</v>
      </c>
      <c r="O17" s="45">
        <f t="shared" si="8"/>
        <v>60</v>
      </c>
      <c r="P17" s="45"/>
    </row>
    <row r="18" spans="1:16" x14ac:dyDescent="0.35">
      <c r="A18" s="52"/>
      <c r="B18" s="53"/>
      <c r="C18" s="54"/>
      <c r="D18" s="54"/>
      <c r="E18" s="54"/>
      <c r="F18" s="54"/>
      <c r="G18" s="54"/>
      <c r="H18" s="53"/>
      <c r="I18" s="40"/>
      <c r="J18" s="45" t="b">
        <f>J17=C26</f>
        <v>1</v>
      </c>
      <c r="K18" s="45" t="b">
        <f>K17=D26</f>
        <v>1</v>
      </c>
      <c r="L18" s="45" t="b">
        <f>L17=E26</f>
        <v>1</v>
      </c>
      <c r="M18" s="45" t="b">
        <f t="shared" ref="M18:O18" si="9">M17=F26</f>
        <v>1</v>
      </c>
      <c r="N18" s="45" t="b">
        <f t="shared" si="9"/>
        <v>1</v>
      </c>
      <c r="O18" s="45" t="b">
        <f t="shared" si="9"/>
        <v>1</v>
      </c>
      <c r="P18" s="45"/>
    </row>
    <row r="19" spans="1:16" x14ac:dyDescent="0.35">
      <c r="A19" s="55" t="s">
        <v>123</v>
      </c>
      <c r="B19" s="56" t="str">
        <f t="shared" ref="B19:H19" si="10">B1</f>
        <v>20-21 (Pre-Op)</v>
      </c>
      <c r="C19" s="57" t="str">
        <f t="shared" si="10"/>
        <v>21-22</v>
      </c>
      <c r="D19" s="57" t="str">
        <f t="shared" si="10"/>
        <v>22-23</v>
      </c>
      <c r="E19" s="57" t="str">
        <f t="shared" si="10"/>
        <v>23-24</v>
      </c>
      <c r="F19" s="57" t="str">
        <f t="shared" si="10"/>
        <v>24-25</v>
      </c>
      <c r="G19" s="57" t="str">
        <f t="shared" si="10"/>
        <v>25-26</v>
      </c>
      <c r="H19" s="56" t="str">
        <f t="shared" si="10"/>
        <v>26-27</v>
      </c>
      <c r="I19" s="40"/>
      <c r="J19" s="45"/>
      <c r="K19" s="45"/>
      <c r="L19" s="45"/>
      <c r="M19" s="45"/>
      <c r="N19" s="45"/>
      <c r="O19" s="45"/>
      <c r="P19" s="45"/>
    </row>
    <row r="20" spans="1:16" x14ac:dyDescent="0.35">
      <c r="A20" s="58" t="s">
        <v>124</v>
      </c>
      <c r="B20" s="53">
        <f>B17*0.12</f>
        <v>0</v>
      </c>
      <c r="C20" s="54">
        <f>C17*0.12</f>
        <v>68.399999999999991</v>
      </c>
      <c r="D20" s="54">
        <f t="shared" ref="D20:H20" si="11">D17*0.12</f>
        <v>94.8</v>
      </c>
      <c r="E20" s="54">
        <f t="shared" si="11"/>
        <v>121.19999999999999</v>
      </c>
      <c r="F20" s="54">
        <f t="shared" si="11"/>
        <v>152.4</v>
      </c>
      <c r="G20" s="54">
        <f t="shared" si="11"/>
        <v>177</v>
      </c>
      <c r="H20" s="53">
        <f t="shared" si="11"/>
        <v>198</v>
      </c>
      <c r="I20" s="59"/>
      <c r="J20" s="59"/>
      <c r="K20" s="59"/>
      <c r="L20" s="59"/>
      <c r="M20" s="59"/>
      <c r="N20" s="59"/>
      <c r="O20" s="45"/>
      <c r="P20" s="45"/>
    </row>
    <row r="21" spans="1:16" x14ac:dyDescent="0.35">
      <c r="A21" s="58"/>
      <c r="B21" s="53"/>
      <c r="C21" s="54"/>
      <c r="D21" s="54"/>
      <c r="E21" s="54"/>
      <c r="F21" s="54"/>
      <c r="G21" s="54"/>
      <c r="H21" s="53"/>
      <c r="I21" s="40"/>
    </row>
    <row r="22" spans="1:16" x14ac:dyDescent="0.35">
      <c r="A22" s="58"/>
      <c r="B22" s="53"/>
      <c r="C22" s="54"/>
      <c r="D22" s="54"/>
      <c r="E22" s="54"/>
      <c r="F22" s="54"/>
      <c r="G22" s="54"/>
      <c r="H22" s="53"/>
      <c r="I22" s="40"/>
    </row>
    <row r="23" spans="1:16" x14ac:dyDescent="0.35">
      <c r="A23" s="58" t="s">
        <v>125</v>
      </c>
      <c r="B23" s="53">
        <v>0</v>
      </c>
      <c r="C23" s="60">
        <v>0.95</v>
      </c>
      <c r="D23" s="60">
        <v>0.95</v>
      </c>
      <c r="E23" s="60">
        <v>0.95</v>
      </c>
      <c r="F23" s="60">
        <v>0.95</v>
      </c>
      <c r="G23" s="60">
        <v>0.95</v>
      </c>
      <c r="H23" s="61">
        <v>0.95</v>
      </c>
      <c r="I23" s="40"/>
    </row>
    <row r="24" spans="1:16" x14ac:dyDescent="0.35">
      <c r="A24" s="62"/>
      <c r="B24" s="63"/>
      <c r="C24" s="64"/>
      <c r="D24" s="64"/>
      <c r="E24" s="64"/>
      <c r="F24" s="64"/>
      <c r="G24" s="64"/>
      <c r="H24" s="63"/>
      <c r="I24" s="40"/>
    </row>
    <row r="25" spans="1:16" x14ac:dyDescent="0.35">
      <c r="A25" s="55" t="s">
        <v>126</v>
      </c>
      <c r="B25" s="56" t="str">
        <f t="shared" ref="B25:H25" si="12">B1</f>
        <v>20-21 (Pre-Op)</v>
      </c>
      <c r="C25" s="57" t="str">
        <f t="shared" si="12"/>
        <v>21-22</v>
      </c>
      <c r="D25" s="57" t="str">
        <f t="shared" si="12"/>
        <v>22-23</v>
      </c>
      <c r="E25" s="57" t="str">
        <f t="shared" si="12"/>
        <v>23-24</v>
      </c>
      <c r="F25" s="57" t="str">
        <f t="shared" si="12"/>
        <v>24-25</v>
      </c>
      <c r="G25" s="57" t="str">
        <f t="shared" si="12"/>
        <v>25-26</v>
      </c>
      <c r="H25" s="56" t="str">
        <f t="shared" si="12"/>
        <v>26-27</v>
      </c>
      <c r="I25" s="40"/>
    </row>
    <row r="26" spans="1:16" x14ac:dyDescent="0.35">
      <c r="A26" s="65" t="s">
        <v>127</v>
      </c>
      <c r="B26" s="66">
        <f t="shared" ref="B26" si="13">(SUM(B4:B9)/25)+(SUM(B10:B16)/30)</f>
        <v>0</v>
      </c>
      <c r="C26" s="67">
        <f t="shared" ref="C26:G26" si="14">(SUM(C4:C9)/25)+(SUM(C10:C16)/30)</f>
        <v>22</v>
      </c>
      <c r="D26" s="67">
        <f t="shared" si="14"/>
        <v>30</v>
      </c>
      <c r="E26" s="67">
        <f t="shared" si="14"/>
        <v>38</v>
      </c>
      <c r="F26" s="67">
        <f t="shared" si="14"/>
        <v>47</v>
      </c>
      <c r="G26" s="67">
        <f t="shared" si="14"/>
        <v>54</v>
      </c>
      <c r="H26" s="66">
        <f>(SUM(H4:H9)/25)+(SUM(H10:H16)/30)</f>
        <v>60</v>
      </c>
      <c r="I26" s="40"/>
      <c r="J26" s="45"/>
      <c r="K26" s="45"/>
    </row>
    <row r="27" spans="1:16" x14ac:dyDescent="0.35">
      <c r="A27" s="65" t="s">
        <v>15</v>
      </c>
      <c r="B27" s="68">
        <v>0</v>
      </c>
      <c r="C27" s="69">
        <v>3</v>
      </c>
      <c r="D27" s="70">
        <v>4.5</v>
      </c>
      <c r="E27" s="70">
        <v>5.5</v>
      </c>
      <c r="F27" s="69">
        <v>7</v>
      </c>
      <c r="G27" s="69">
        <v>8</v>
      </c>
      <c r="H27" s="68">
        <v>9</v>
      </c>
      <c r="I27" s="40"/>
      <c r="J27" s="45"/>
      <c r="K27" s="45"/>
      <c r="L27" s="45"/>
      <c r="M27" s="45"/>
      <c r="N27" s="45"/>
      <c r="O27" s="45"/>
    </row>
    <row r="28" spans="1:16" x14ac:dyDescent="0.35">
      <c r="A28" s="65" t="s">
        <v>128</v>
      </c>
      <c r="B28" s="68">
        <v>0</v>
      </c>
      <c r="C28" s="69">
        <v>1</v>
      </c>
      <c r="D28" s="69">
        <v>1</v>
      </c>
      <c r="E28" s="69">
        <v>1</v>
      </c>
      <c r="F28" s="69">
        <v>1</v>
      </c>
      <c r="G28" s="69">
        <v>2</v>
      </c>
      <c r="H28" s="68">
        <v>2</v>
      </c>
      <c r="I28" s="40"/>
    </row>
    <row r="29" spans="1:16" x14ac:dyDescent="0.35">
      <c r="A29" s="65" t="s">
        <v>129</v>
      </c>
      <c r="B29" s="68">
        <v>0</v>
      </c>
      <c r="C29" s="69">
        <v>1</v>
      </c>
      <c r="D29" s="69">
        <v>1</v>
      </c>
      <c r="E29" s="69">
        <v>1</v>
      </c>
      <c r="F29" s="69">
        <v>1</v>
      </c>
      <c r="G29" s="69">
        <v>2</v>
      </c>
      <c r="H29" s="68">
        <v>2</v>
      </c>
      <c r="I29" s="40"/>
      <c r="J29" s="71"/>
      <c r="K29" s="71"/>
      <c r="L29" s="71"/>
      <c r="M29" s="71"/>
      <c r="N29" s="71"/>
      <c r="O29" s="71"/>
    </row>
    <row r="30" spans="1:16" x14ac:dyDescent="0.35">
      <c r="A30" s="65" t="s">
        <v>130</v>
      </c>
      <c r="B30" s="68">
        <v>0</v>
      </c>
      <c r="C30" s="69">
        <v>1</v>
      </c>
      <c r="D30" s="69">
        <v>1</v>
      </c>
      <c r="E30" s="69">
        <v>1</v>
      </c>
      <c r="F30" s="69">
        <v>1</v>
      </c>
      <c r="G30" s="69">
        <v>2</v>
      </c>
      <c r="H30" s="68">
        <v>2</v>
      </c>
      <c r="I30" s="40"/>
    </row>
    <row r="31" spans="1:16" x14ac:dyDescent="0.35">
      <c r="A31" s="65" t="s">
        <v>131</v>
      </c>
      <c r="B31" s="68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8">
        <v>0</v>
      </c>
      <c r="I31" s="40"/>
    </row>
    <row r="32" spans="1:16" x14ac:dyDescent="0.35">
      <c r="A32" s="72" t="s">
        <v>132</v>
      </c>
      <c r="B32" s="68">
        <v>0</v>
      </c>
      <c r="C32" s="69">
        <v>0</v>
      </c>
      <c r="D32" s="69">
        <v>0</v>
      </c>
      <c r="E32" s="69">
        <v>0</v>
      </c>
      <c r="F32" s="69">
        <v>1</v>
      </c>
      <c r="G32" s="69">
        <v>1</v>
      </c>
      <c r="H32" s="68">
        <v>1</v>
      </c>
      <c r="I32" s="40"/>
    </row>
    <row r="33" spans="1:9" x14ac:dyDescent="0.35">
      <c r="A33" s="72" t="s">
        <v>133</v>
      </c>
      <c r="B33" s="68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8">
        <v>0</v>
      </c>
      <c r="I33" s="40"/>
    </row>
    <row r="34" spans="1:9" x14ac:dyDescent="0.35">
      <c r="A34" s="72" t="s">
        <v>134</v>
      </c>
      <c r="B34" s="68">
        <v>0</v>
      </c>
      <c r="C34" s="69">
        <v>0</v>
      </c>
      <c r="D34" s="69">
        <v>1</v>
      </c>
      <c r="E34" s="69">
        <v>1</v>
      </c>
      <c r="F34" s="69">
        <v>2</v>
      </c>
      <c r="G34" s="69">
        <v>2</v>
      </c>
      <c r="H34" s="68">
        <v>2</v>
      </c>
      <c r="I34" s="40"/>
    </row>
    <row r="35" spans="1:9" x14ac:dyDescent="0.35">
      <c r="A35" s="72" t="s">
        <v>135</v>
      </c>
      <c r="B35" s="68">
        <v>0</v>
      </c>
      <c r="C35" s="69">
        <v>0</v>
      </c>
      <c r="D35" s="69">
        <v>1</v>
      </c>
      <c r="E35" s="69">
        <v>1</v>
      </c>
      <c r="F35" s="69">
        <v>2</v>
      </c>
      <c r="G35" s="69">
        <v>2</v>
      </c>
      <c r="H35" s="68">
        <v>2</v>
      </c>
      <c r="I35" s="40"/>
    </row>
    <row r="36" spans="1:9" x14ac:dyDescent="0.35">
      <c r="A36" s="73" t="s">
        <v>136</v>
      </c>
      <c r="B36" s="74">
        <f t="shared" ref="B36:H36" si="15">SUM(B26:B35)</f>
        <v>0</v>
      </c>
      <c r="C36" s="75">
        <f t="shared" si="15"/>
        <v>28</v>
      </c>
      <c r="D36" s="75">
        <f t="shared" si="15"/>
        <v>39.5</v>
      </c>
      <c r="E36" s="75">
        <f t="shared" si="15"/>
        <v>48.5</v>
      </c>
      <c r="F36" s="75">
        <f t="shared" si="15"/>
        <v>62</v>
      </c>
      <c r="G36" s="75">
        <f t="shared" si="15"/>
        <v>73</v>
      </c>
      <c r="H36" s="74">
        <f t="shared" si="15"/>
        <v>80</v>
      </c>
      <c r="I36" s="40"/>
    </row>
    <row r="37" spans="1:9" x14ac:dyDescent="0.35">
      <c r="A37" s="76"/>
      <c r="B37" s="77"/>
      <c r="C37" s="78"/>
      <c r="D37" s="78"/>
      <c r="E37" s="78"/>
      <c r="F37" s="78"/>
      <c r="G37" s="78"/>
      <c r="H37" s="77"/>
      <c r="I37" s="40"/>
    </row>
    <row r="38" spans="1:9" x14ac:dyDescent="0.35">
      <c r="A38" s="55" t="s">
        <v>137</v>
      </c>
      <c r="B38" s="56" t="str">
        <f t="shared" ref="B38:H38" si="16">B1</f>
        <v>20-21 (Pre-Op)</v>
      </c>
      <c r="C38" s="57" t="str">
        <f t="shared" si="16"/>
        <v>21-22</v>
      </c>
      <c r="D38" s="57" t="str">
        <f t="shared" si="16"/>
        <v>22-23</v>
      </c>
      <c r="E38" s="57" t="str">
        <f t="shared" si="16"/>
        <v>23-24</v>
      </c>
      <c r="F38" s="57" t="str">
        <f t="shared" si="16"/>
        <v>24-25</v>
      </c>
      <c r="G38" s="57" t="str">
        <f t="shared" si="16"/>
        <v>25-26</v>
      </c>
      <c r="H38" s="56" t="str">
        <f t="shared" si="16"/>
        <v>26-27</v>
      </c>
      <c r="I38" s="40"/>
    </row>
    <row r="39" spans="1:9" x14ac:dyDescent="0.35">
      <c r="A39" s="65" t="s">
        <v>138</v>
      </c>
      <c r="B39" s="68">
        <v>0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8">
        <v>0</v>
      </c>
      <c r="I39" s="40"/>
    </row>
    <row r="40" spans="1:9" x14ac:dyDescent="0.35">
      <c r="A40" s="65" t="s">
        <v>8</v>
      </c>
      <c r="B40" s="68">
        <v>0</v>
      </c>
      <c r="C40" s="69">
        <v>1</v>
      </c>
      <c r="D40" s="69">
        <v>1</v>
      </c>
      <c r="E40" s="69">
        <v>1</v>
      </c>
      <c r="F40" s="69">
        <v>1</v>
      </c>
      <c r="G40" s="69">
        <v>1</v>
      </c>
      <c r="H40" s="68">
        <v>1</v>
      </c>
      <c r="I40" s="40"/>
    </row>
    <row r="41" spans="1:9" x14ac:dyDescent="0.35">
      <c r="A41" s="65" t="s">
        <v>139</v>
      </c>
      <c r="B41" s="68">
        <v>0</v>
      </c>
      <c r="C41" s="69">
        <v>1</v>
      </c>
      <c r="D41" s="69">
        <v>2</v>
      </c>
      <c r="E41" s="69">
        <v>2</v>
      </c>
      <c r="F41" s="69">
        <v>3</v>
      </c>
      <c r="G41" s="69">
        <v>3</v>
      </c>
      <c r="H41" s="68">
        <v>3</v>
      </c>
      <c r="I41" s="40"/>
    </row>
    <row r="42" spans="1:9" x14ac:dyDescent="0.35">
      <c r="A42" s="79" t="s">
        <v>140</v>
      </c>
      <c r="B42" s="68">
        <v>0</v>
      </c>
      <c r="C42" s="69">
        <v>1</v>
      </c>
      <c r="D42" s="69">
        <v>1</v>
      </c>
      <c r="E42" s="69">
        <v>1</v>
      </c>
      <c r="F42" s="69">
        <v>1</v>
      </c>
      <c r="G42" s="69">
        <v>1</v>
      </c>
      <c r="H42" s="68">
        <v>1</v>
      </c>
      <c r="I42" s="40"/>
    </row>
    <row r="43" spans="1:9" x14ac:dyDescent="0.35">
      <c r="A43" s="79" t="s">
        <v>141</v>
      </c>
      <c r="B43" s="68">
        <v>0</v>
      </c>
      <c r="C43" s="69">
        <v>0</v>
      </c>
      <c r="D43" s="69">
        <v>1</v>
      </c>
      <c r="E43" s="69">
        <v>1</v>
      </c>
      <c r="F43" s="69">
        <v>2</v>
      </c>
      <c r="G43" s="69">
        <v>3</v>
      </c>
      <c r="H43" s="68">
        <v>3</v>
      </c>
      <c r="I43" s="40"/>
    </row>
    <row r="44" spans="1:9" x14ac:dyDescent="0.35">
      <c r="A44" s="79" t="s">
        <v>10</v>
      </c>
      <c r="B44" s="68">
        <v>0</v>
      </c>
      <c r="C44" s="69">
        <v>0</v>
      </c>
      <c r="D44" s="69">
        <v>0</v>
      </c>
      <c r="E44" s="69">
        <v>1</v>
      </c>
      <c r="F44" s="69">
        <v>2</v>
      </c>
      <c r="G44" s="69">
        <v>2</v>
      </c>
      <c r="H44" s="68">
        <v>2</v>
      </c>
      <c r="I44" s="40"/>
    </row>
    <row r="45" spans="1:9" x14ac:dyDescent="0.35">
      <c r="A45" s="65" t="s">
        <v>142</v>
      </c>
      <c r="B45" s="68">
        <v>0</v>
      </c>
      <c r="C45" s="69">
        <v>1</v>
      </c>
      <c r="D45" s="69">
        <v>1</v>
      </c>
      <c r="E45" s="69">
        <v>1</v>
      </c>
      <c r="F45" s="70">
        <v>1.5</v>
      </c>
      <c r="G45" s="70">
        <v>1.5</v>
      </c>
      <c r="H45" s="80">
        <v>2</v>
      </c>
      <c r="I45" s="40"/>
    </row>
    <row r="46" spans="1:9" x14ac:dyDescent="0.35">
      <c r="A46" s="65" t="s">
        <v>143</v>
      </c>
      <c r="B46" s="68">
        <v>0</v>
      </c>
      <c r="C46" s="69">
        <v>0</v>
      </c>
      <c r="D46" s="69">
        <v>1</v>
      </c>
      <c r="E46" s="69">
        <v>1</v>
      </c>
      <c r="F46" s="69">
        <v>1</v>
      </c>
      <c r="G46" s="70">
        <v>1.5</v>
      </c>
      <c r="H46" s="80">
        <v>2</v>
      </c>
      <c r="I46" s="40"/>
    </row>
    <row r="47" spans="1:9" x14ac:dyDescent="0.35">
      <c r="A47" s="65" t="s">
        <v>144</v>
      </c>
      <c r="B47" s="68">
        <v>0</v>
      </c>
      <c r="C47" s="69">
        <v>0</v>
      </c>
      <c r="D47" s="69">
        <v>1</v>
      </c>
      <c r="E47" s="69">
        <v>1</v>
      </c>
      <c r="F47" s="69">
        <v>1</v>
      </c>
      <c r="G47" s="69">
        <v>2</v>
      </c>
      <c r="H47" s="68">
        <v>2</v>
      </c>
      <c r="I47" s="40"/>
    </row>
    <row r="48" spans="1:9" x14ac:dyDescent="0.35">
      <c r="A48" s="65" t="s">
        <v>145</v>
      </c>
      <c r="B48" s="68">
        <v>0</v>
      </c>
      <c r="C48" s="69">
        <v>1</v>
      </c>
      <c r="D48" s="69">
        <v>1</v>
      </c>
      <c r="E48" s="69">
        <v>2</v>
      </c>
      <c r="F48" s="69">
        <v>2</v>
      </c>
      <c r="G48" s="69">
        <v>2</v>
      </c>
      <c r="H48" s="68">
        <v>2</v>
      </c>
      <c r="I48" s="40"/>
    </row>
    <row r="49" spans="1:9" x14ac:dyDescent="0.35">
      <c r="A49" s="65" t="s">
        <v>146</v>
      </c>
      <c r="B49" s="68">
        <v>0</v>
      </c>
      <c r="C49" s="69">
        <v>1</v>
      </c>
      <c r="D49" s="69">
        <v>5</v>
      </c>
      <c r="E49" s="69">
        <v>6</v>
      </c>
      <c r="F49" s="69">
        <v>8</v>
      </c>
      <c r="G49" s="69">
        <v>14</v>
      </c>
      <c r="H49" s="68">
        <v>16</v>
      </c>
      <c r="I49" s="40"/>
    </row>
    <row r="50" spans="1:9" x14ac:dyDescent="0.35">
      <c r="A50" s="65" t="s">
        <v>147</v>
      </c>
      <c r="B50" s="68">
        <v>0</v>
      </c>
      <c r="C50" s="69">
        <v>1</v>
      </c>
      <c r="D50" s="69">
        <v>1</v>
      </c>
      <c r="E50" s="69">
        <v>1</v>
      </c>
      <c r="F50" s="69">
        <v>2</v>
      </c>
      <c r="G50" s="69">
        <v>2</v>
      </c>
      <c r="H50" s="68">
        <v>2</v>
      </c>
      <c r="I50" s="40"/>
    </row>
    <row r="51" spans="1:9" x14ac:dyDescent="0.35">
      <c r="A51" s="65" t="s">
        <v>148</v>
      </c>
      <c r="B51" s="68">
        <v>0</v>
      </c>
      <c r="C51" s="69">
        <v>1</v>
      </c>
      <c r="D51" s="69">
        <v>1</v>
      </c>
      <c r="E51" s="69">
        <v>2</v>
      </c>
      <c r="F51" s="69">
        <v>2</v>
      </c>
      <c r="G51" s="69">
        <v>2</v>
      </c>
      <c r="H51" s="68">
        <v>3</v>
      </c>
      <c r="I51" s="40"/>
    </row>
    <row r="52" spans="1:9" x14ac:dyDescent="0.35">
      <c r="A52" s="81" t="s">
        <v>23</v>
      </c>
      <c r="B52" s="68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8">
        <v>0</v>
      </c>
      <c r="I52" s="40"/>
    </row>
    <row r="53" spans="1:9" x14ac:dyDescent="0.35">
      <c r="A53" s="81" t="s">
        <v>24</v>
      </c>
      <c r="B53" s="68">
        <v>0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8">
        <v>0</v>
      </c>
      <c r="I53" s="40"/>
    </row>
    <row r="54" spans="1:9" x14ac:dyDescent="0.35">
      <c r="A54" s="81" t="s">
        <v>25</v>
      </c>
      <c r="B54" s="68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8">
        <v>0</v>
      </c>
      <c r="I54" s="40"/>
    </row>
    <row r="55" spans="1:9" x14ac:dyDescent="0.35">
      <c r="A55" s="81" t="s">
        <v>26</v>
      </c>
      <c r="B55" s="68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8">
        <v>1</v>
      </c>
      <c r="I55" s="40"/>
    </row>
    <row r="56" spans="1:9" x14ac:dyDescent="0.35">
      <c r="A56" s="81" t="s">
        <v>149</v>
      </c>
      <c r="B56" s="68">
        <v>0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8">
        <v>0</v>
      </c>
      <c r="I56" s="40"/>
    </row>
    <row r="57" spans="1:9" x14ac:dyDescent="0.35">
      <c r="A57" s="82"/>
      <c r="B57" s="83"/>
      <c r="C57" s="84"/>
      <c r="D57" s="84"/>
      <c r="E57" s="84"/>
      <c r="F57" s="84"/>
      <c r="G57" s="84"/>
      <c r="H57" s="83"/>
      <c r="I57" s="40"/>
    </row>
    <row r="58" spans="1:9" x14ac:dyDescent="0.35">
      <c r="A58" s="73" t="s">
        <v>150</v>
      </c>
      <c r="B58" s="85">
        <f t="shared" ref="B58:H58" si="17">SUM(B39:B57)</f>
        <v>0</v>
      </c>
      <c r="C58" s="86">
        <f t="shared" si="17"/>
        <v>8</v>
      </c>
      <c r="D58" s="86">
        <f t="shared" si="17"/>
        <v>16</v>
      </c>
      <c r="E58" s="86">
        <f t="shared" si="17"/>
        <v>20</v>
      </c>
      <c r="F58" s="86">
        <f t="shared" si="17"/>
        <v>26.5</v>
      </c>
      <c r="G58" s="86">
        <f t="shared" si="17"/>
        <v>35</v>
      </c>
      <c r="H58" s="85">
        <f t="shared" si="17"/>
        <v>40</v>
      </c>
      <c r="I58" s="40"/>
    </row>
    <row r="59" spans="1:9" x14ac:dyDescent="0.35">
      <c r="A59" s="87"/>
      <c r="B59" s="88"/>
      <c r="C59" s="89"/>
      <c r="D59" s="89"/>
      <c r="E59" s="89"/>
      <c r="F59" s="89"/>
      <c r="G59" s="89"/>
      <c r="H59" s="88"/>
      <c r="I59" s="40"/>
    </row>
    <row r="60" spans="1:9" x14ac:dyDescent="0.35">
      <c r="A60" s="90" t="s">
        <v>151</v>
      </c>
      <c r="B60" s="91">
        <f t="shared" ref="B60:H60" si="18">B36</f>
        <v>0</v>
      </c>
      <c r="C60" s="92">
        <f t="shared" si="18"/>
        <v>28</v>
      </c>
      <c r="D60" s="92">
        <f t="shared" si="18"/>
        <v>39.5</v>
      </c>
      <c r="E60" s="92">
        <f t="shared" si="18"/>
        <v>48.5</v>
      </c>
      <c r="F60" s="92">
        <f t="shared" si="18"/>
        <v>62</v>
      </c>
      <c r="G60" s="92">
        <f t="shared" si="18"/>
        <v>73</v>
      </c>
      <c r="H60" s="91">
        <f t="shared" si="18"/>
        <v>80</v>
      </c>
      <c r="I60" s="40"/>
    </row>
    <row r="61" spans="1:9" ht="15" thickBot="1" x14ac:dyDescent="0.4">
      <c r="A61" s="93" t="s">
        <v>152</v>
      </c>
      <c r="B61" s="94">
        <f t="shared" ref="B61:H61" si="19">B58</f>
        <v>0</v>
      </c>
      <c r="C61" s="95">
        <f t="shared" si="19"/>
        <v>8</v>
      </c>
      <c r="D61" s="95">
        <f t="shared" si="19"/>
        <v>16</v>
      </c>
      <c r="E61" s="95">
        <f t="shared" si="19"/>
        <v>20</v>
      </c>
      <c r="F61" s="95">
        <f t="shared" si="19"/>
        <v>26.5</v>
      </c>
      <c r="G61" s="95">
        <f t="shared" si="19"/>
        <v>35</v>
      </c>
      <c r="H61" s="94">
        <f t="shared" si="19"/>
        <v>40</v>
      </c>
      <c r="I61" s="40"/>
    </row>
    <row r="62" spans="1:9" x14ac:dyDescent="0.35">
      <c r="A62" s="96" t="s">
        <v>153</v>
      </c>
      <c r="B62" s="97">
        <f t="shared" ref="B62:H62" si="20">SUM(B60:B61)</f>
        <v>0</v>
      </c>
      <c r="C62" s="98">
        <f t="shared" si="20"/>
        <v>36</v>
      </c>
      <c r="D62" s="98">
        <f t="shared" si="20"/>
        <v>55.5</v>
      </c>
      <c r="E62" s="98">
        <f t="shared" si="20"/>
        <v>68.5</v>
      </c>
      <c r="F62" s="98">
        <f t="shared" si="20"/>
        <v>88.5</v>
      </c>
      <c r="G62" s="98">
        <f t="shared" si="20"/>
        <v>108</v>
      </c>
      <c r="H62" s="97">
        <f t="shared" si="20"/>
        <v>120</v>
      </c>
      <c r="I62" s="40"/>
    </row>
    <row r="63" spans="1:9" x14ac:dyDescent="0.35">
      <c r="A63" s="81"/>
      <c r="B63" s="99"/>
      <c r="C63" s="100"/>
      <c r="D63" s="100"/>
      <c r="E63" s="100"/>
      <c r="F63" s="100"/>
      <c r="G63" s="100"/>
      <c r="H63" s="99"/>
      <c r="I63" s="40"/>
    </row>
    <row r="64" spans="1:9" x14ac:dyDescent="0.35">
      <c r="A64" s="101" t="s">
        <v>154</v>
      </c>
      <c r="B64" s="102"/>
      <c r="C64" s="103">
        <f>C113/(C158+C161+C162+C163)</f>
        <v>0.5251545772988101</v>
      </c>
      <c r="D64" s="103">
        <f t="shared" ref="D64:H64" si="21">D113/(D158+D161+D162+D163)</f>
        <v>0.54763573131204069</v>
      </c>
      <c r="E64" s="103">
        <f t="shared" si="21"/>
        <v>0.52367886679737119</v>
      </c>
      <c r="F64" s="103">
        <f t="shared" si="21"/>
        <v>0.54304048221575651</v>
      </c>
      <c r="G64" s="103">
        <f t="shared" si="21"/>
        <v>0.55973902204851156</v>
      </c>
      <c r="H64" s="102">
        <f t="shared" si="21"/>
        <v>0.56360164945374081</v>
      </c>
      <c r="I64" s="40"/>
    </row>
    <row r="65" spans="1:11" x14ac:dyDescent="0.35">
      <c r="A65" s="76" t="s">
        <v>155</v>
      </c>
      <c r="B65" s="104"/>
      <c r="C65" s="105">
        <f t="shared" ref="C65:H65" si="22">(C91+C92)/C107</f>
        <v>0.76992753623188404</v>
      </c>
      <c r="D65" s="105">
        <f t="shared" si="22"/>
        <v>0.73106781142357724</v>
      </c>
      <c r="E65" s="105">
        <f t="shared" si="22"/>
        <v>0.73761666517127089</v>
      </c>
      <c r="F65" s="105">
        <f t="shared" si="22"/>
        <v>0.72513709485544464</v>
      </c>
      <c r="G65" s="105">
        <f t="shared" si="22"/>
        <v>0.71891312801605511</v>
      </c>
      <c r="H65" s="104">
        <f t="shared" si="22"/>
        <v>0.7057531786904444</v>
      </c>
      <c r="I65" s="40"/>
    </row>
    <row r="66" spans="1:11" x14ac:dyDescent="0.35">
      <c r="A66" s="101" t="s">
        <v>156</v>
      </c>
      <c r="B66" s="102"/>
      <c r="C66" s="103">
        <f t="shared" ref="C66:H66" si="23">(C86+C87+C88+C89+C90+C93+C94+C95+C96+C100+C101+C102+C103+C106+C104+C105)/C107</f>
        <v>0.23007246376811594</v>
      </c>
      <c r="D66" s="103">
        <f t="shared" si="23"/>
        <v>0.26893218857642281</v>
      </c>
      <c r="E66" s="103">
        <f t="shared" si="23"/>
        <v>0.262383334828729</v>
      </c>
      <c r="F66" s="103">
        <f t="shared" si="23"/>
        <v>0.27486290514455536</v>
      </c>
      <c r="G66" s="103">
        <f t="shared" si="23"/>
        <v>0.28108687198394477</v>
      </c>
      <c r="H66" s="102">
        <f t="shared" si="23"/>
        <v>0.29424682130955554</v>
      </c>
      <c r="I66" s="40"/>
    </row>
    <row r="67" spans="1:11" x14ac:dyDescent="0.35">
      <c r="A67" s="76" t="s">
        <v>157</v>
      </c>
      <c r="B67" s="104"/>
      <c r="C67" s="105">
        <f>(C161+C162+C163)/(C158+C161+C162+C163)</f>
        <v>0.18597538738219596</v>
      </c>
      <c r="D67" s="105">
        <f t="shared" ref="D67:H67" si="24">(D161+D162+D163)/(D158+D161+D162+D163)</f>
        <v>0.17233585368418655</v>
      </c>
      <c r="E67" s="105">
        <f t="shared" si="24"/>
        <v>0.20372111733657283</v>
      </c>
      <c r="F67" s="105">
        <f t="shared" si="24"/>
        <v>0.19021133055683184</v>
      </c>
      <c r="G67" s="105">
        <f t="shared" si="24"/>
        <v>0.1844727882001565</v>
      </c>
      <c r="H67" s="104">
        <f t="shared" si="24"/>
        <v>0.18928565151437249</v>
      </c>
      <c r="I67" s="40"/>
    </row>
    <row r="68" spans="1:11" x14ac:dyDescent="0.35">
      <c r="A68" s="106"/>
      <c r="B68" s="107"/>
      <c r="C68" s="108"/>
      <c r="D68" s="108"/>
      <c r="E68" s="108"/>
      <c r="F68" s="108"/>
      <c r="G68" s="108"/>
      <c r="H68" s="107"/>
      <c r="I68" s="40"/>
    </row>
    <row r="69" spans="1:11" x14ac:dyDescent="0.35">
      <c r="A69" s="109"/>
      <c r="B69" s="110"/>
      <c r="C69" s="111"/>
      <c r="D69" s="111"/>
      <c r="E69" s="111"/>
      <c r="F69" s="111"/>
      <c r="G69" s="111"/>
      <c r="H69" s="110"/>
      <c r="I69" s="40"/>
    </row>
    <row r="70" spans="1:11" x14ac:dyDescent="0.35">
      <c r="A70" s="76" t="s">
        <v>158</v>
      </c>
      <c r="B70" s="112"/>
      <c r="C70" s="113"/>
      <c r="D70" s="113"/>
      <c r="E70" s="113"/>
      <c r="F70" s="113"/>
      <c r="G70" s="113"/>
      <c r="H70" s="112"/>
      <c r="I70" s="40"/>
    </row>
    <row r="71" spans="1:11" x14ac:dyDescent="0.35">
      <c r="A71" s="114" t="s">
        <v>0</v>
      </c>
      <c r="B71" s="115">
        <f>(B2*B3)*0.985</f>
        <v>0</v>
      </c>
      <c r="C71" s="116">
        <f>(C2*C3)*0.985</f>
        <v>4091847.6</v>
      </c>
      <c r="D71" s="116">
        <f t="shared" ref="D71:H71" si="25">(D2*D3)*0.985</f>
        <v>5744882.2435999997</v>
      </c>
      <c r="E71" s="116">
        <f t="shared" si="25"/>
        <v>7440204.2656891998</v>
      </c>
      <c r="F71" s="116">
        <f t="shared" si="25"/>
        <v>9477125.9305463471</v>
      </c>
      <c r="G71" s="116">
        <f t="shared" si="25"/>
        <v>11149987.903365424</v>
      </c>
      <c r="H71" s="115">
        <f t="shared" si="25"/>
        <v>12635015.10581704</v>
      </c>
      <c r="I71" s="40"/>
    </row>
    <row r="72" spans="1:11" x14ac:dyDescent="0.35">
      <c r="A72" s="81" t="s">
        <v>159</v>
      </c>
      <c r="B72" s="115">
        <f>(B17*3)*180</f>
        <v>0</v>
      </c>
      <c r="C72" s="116">
        <f>((C17*C23)*3)*180</f>
        <v>292410</v>
      </c>
      <c r="D72" s="116">
        <f t="shared" ref="D72:H72" si="26">((D17*D23)*3)*180</f>
        <v>405270</v>
      </c>
      <c r="E72" s="116">
        <f t="shared" si="26"/>
        <v>518130</v>
      </c>
      <c r="F72" s="116">
        <f t="shared" si="26"/>
        <v>651510</v>
      </c>
      <c r="G72" s="116">
        <f t="shared" si="26"/>
        <v>756675</v>
      </c>
      <c r="H72" s="116">
        <f t="shared" si="26"/>
        <v>846450</v>
      </c>
      <c r="I72" s="40"/>
      <c r="K72" s="32" t="s">
        <v>160</v>
      </c>
    </row>
    <row r="73" spans="1:11" x14ac:dyDescent="0.35">
      <c r="A73" s="81" t="s">
        <v>3</v>
      </c>
      <c r="B73" s="115">
        <v>0</v>
      </c>
      <c r="C73" s="116">
        <f>950*30</f>
        <v>28500</v>
      </c>
      <c r="D73" s="116">
        <f>950*C20</f>
        <v>64979.999999999993</v>
      </c>
      <c r="E73" s="116">
        <f t="shared" ref="E73:H73" si="27">950*D20</f>
        <v>90060</v>
      </c>
      <c r="F73" s="116">
        <f t="shared" si="27"/>
        <v>115139.99999999999</v>
      </c>
      <c r="G73" s="116">
        <f t="shared" si="27"/>
        <v>144780</v>
      </c>
      <c r="H73" s="115">
        <f t="shared" si="27"/>
        <v>168150</v>
      </c>
      <c r="I73" s="40"/>
      <c r="J73" s="117"/>
    </row>
    <row r="74" spans="1:11" x14ac:dyDescent="0.35">
      <c r="A74" s="81" t="s">
        <v>4</v>
      </c>
      <c r="B74" s="115">
        <v>0</v>
      </c>
      <c r="C74" s="116">
        <v>0</v>
      </c>
      <c r="D74" s="116">
        <f>3455*C20</f>
        <v>236321.99999999997</v>
      </c>
      <c r="E74" s="116">
        <f t="shared" ref="E74:H74" si="28">3455*D20</f>
        <v>327534</v>
      </c>
      <c r="F74" s="116">
        <f t="shared" si="28"/>
        <v>418745.99999999994</v>
      </c>
      <c r="G74" s="116">
        <f t="shared" si="28"/>
        <v>526542</v>
      </c>
      <c r="H74" s="115">
        <f t="shared" si="28"/>
        <v>611535</v>
      </c>
      <c r="I74" s="40"/>
      <c r="J74" s="40"/>
    </row>
    <row r="75" spans="1:11" x14ac:dyDescent="0.35">
      <c r="A75" s="118" t="s">
        <v>161</v>
      </c>
      <c r="B75" s="115">
        <v>52500</v>
      </c>
      <c r="C75" s="116">
        <v>0</v>
      </c>
      <c r="D75" s="116">
        <v>0</v>
      </c>
      <c r="E75" s="116">
        <v>0</v>
      </c>
      <c r="F75" s="116">
        <v>0</v>
      </c>
      <c r="G75" s="54">
        <v>0</v>
      </c>
      <c r="H75" s="53">
        <v>0</v>
      </c>
      <c r="I75" s="40"/>
    </row>
    <row r="76" spans="1:11" x14ac:dyDescent="0.35">
      <c r="A76" s="73" t="s">
        <v>5</v>
      </c>
      <c r="B76" s="50">
        <f t="shared" ref="B76" si="29">SUM(B71:B75)</f>
        <v>52500</v>
      </c>
      <c r="C76" s="51">
        <f t="shared" ref="C76:F76" si="30">SUM(C71:C75)</f>
        <v>4412757.5999999996</v>
      </c>
      <c r="D76" s="51">
        <f t="shared" si="30"/>
        <v>6451454.2435999997</v>
      </c>
      <c r="E76" s="51">
        <f t="shared" si="30"/>
        <v>8375928.2656891998</v>
      </c>
      <c r="F76" s="51">
        <f t="shared" si="30"/>
        <v>10662521.930546347</v>
      </c>
      <c r="G76" s="51">
        <f>SUM(G71:G75)</f>
        <v>12577984.903365424</v>
      </c>
      <c r="H76" s="50">
        <f>SUM(H71:H75)</f>
        <v>14261150.10581704</v>
      </c>
      <c r="I76" s="40"/>
      <c r="J76" s="40">
        <f>C76-C137</f>
        <v>4360830.5999999996</v>
      </c>
    </row>
    <row r="77" spans="1:11" x14ac:dyDescent="0.35">
      <c r="A77" s="114" t="s">
        <v>162</v>
      </c>
      <c r="B77" s="115">
        <f t="shared" ref="B77:H77" si="31">(B2*B3)</f>
        <v>0</v>
      </c>
      <c r="C77" s="116">
        <f t="shared" si="31"/>
        <v>4154160</v>
      </c>
      <c r="D77" s="116">
        <f t="shared" si="31"/>
        <v>5832367.7599999998</v>
      </c>
      <c r="E77" s="116">
        <f t="shared" si="31"/>
        <v>7553506.8687199997</v>
      </c>
      <c r="F77" s="116">
        <f t="shared" si="31"/>
        <v>9621447.6452247184</v>
      </c>
      <c r="G77" s="116">
        <f t="shared" si="31"/>
        <v>11319784.673467435</v>
      </c>
      <c r="H77" s="115">
        <f t="shared" si="31"/>
        <v>12827426.503367554</v>
      </c>
      <c r="I77" s="40"/>
    </row>
    <row r="78" spans="1:11" x14ac:dyDescent="0.35">
      <c r="A78" s="81" t="s">
        <v>1</v>
      </c>
      <c r="B78" s="115">
        <f t="shared" ref="B78:H81" si="32">B72</f>
        <v>0</v>
      </c>
      <c r="C78" s="116">
        <f t="shared" si="32"/>
        <v>292410</v>
      </c>
      <c r="D78" s="116">
        <f t="shared" si="32"/>
        <v>405270</v>
      </c>
      <c r="E78" s="116">
        <f t="shared" si="32"/>
        <v>518130</v>
      </c>
      <c r="F78" s="116">
        <f t="shared" si="32"/>
        <v>651510</v>
      </c>
      <c r="G78" s="116">
        <f t="shared" si="32"/>
        <v>756675</v>
      </c>
      <c r="H78" s="115">
        <f t="shared" si="32"/>
        <v>846450</v>
      </c>
      <c r="I78" s="40"/>
    </row>
    <row r="79" spans="1:11" x14ac:dyDescent="0.35">
      <c r="A79" s="81" t="s">
        <v>163</v>
      </c>
      <c r="B79" s="115">
        <f t="shared" si="32"/>
        <v>0</v>
      </c>
      <c r="C79" s="116">
        <f t="shared" si="32"/>
        <v>28500</v>
      </c>
      <c r="D79" s="116">
        <f t="shared" si="32"/>
        <v>64979.999999999993</v>
      </c>
      <c r="E79" s="116">
        <f t="shared" si="32"/>
        <v>90060</v>
      </c>
      <c r="F79" s="116">
        <f t="shared" si="32"/>
        <v>115139.99999999999</v>
      </c>
      <c r="G79" s="116">
        <f t="shared" si="32"/>
        <v>144780</v>
      </c>
      <c r="H79" s="115">
        <f t="shared" si="32"/>
        <v>168150</v>
      </c>
      <c r="I79" s="40"/>
    </row>
    <row r="80" spans="1:11" x14ac:dyDescent="0.35">
      <c r="A80" s="81" t="s">
        <v>4</v>
      </c>
      <c r="B80" s="115">
        <f t="shared" si="32"/>
        <v>0</v>
      </c>
      <c r="C80" s="116">
        <f t="shared" si="32"/>
        <v>0</v>
      </c>
      <c r="D80" s="116">
        <f t="shared" si="32"/>
        <v>236321.99999999997</v>
      </c>
      <c r="E80" s="116">
        <f t="shared" si="32"/>
        <v>327534</v>
      </c>
      <c r="F80" s="116">
        <f t="shared" si="32"/>
        <v>418745.99999999994</v>
      </c>
      <c r="G80" s="116">
        <f t="shared" si="32"/>
        <v>526542</v>
      </c>
      <c r="H80" s="115">
        <f t="shared" si="32"/>
        <v>611535</v>
      </c>
      <c r="I80" s="40"/>
    </row>
    <row r="81" spans="1:15" x14ac:dyDescent="0.35">
      <c r="A81" s="118" t="s">
        <v>164</v>
      </c>
      <c r="B81" s="115">
        <f t="shared" si="32"/>
        <v>52500</v>
      </c>
      <c r="C81" s="116">
        <f t="shared" si="32"/>
        <v>0</v>
      </c>
      <c r="D81" s="116">
        <f t="shared" si="32"/>
        <v>0</v>
      </c>
      <c r="E81" s="116">
        <f t="shared" si="32"/>
        <v>0</v>
      </c>
      <c r="F81" s="116">
        <f t="shared" si="32"/>
        <v>0</v>
      </c>
      <c r="G81" s="116">
        <f t="shared" si="32"/>
        <v>0</v>
      </c>
      <c r="H81" s="115">
        <f t="shared" si="32"/>
        <v>0</v>
      </c>
      <c r="I81" s="40"/>
    </row>
    <row r="82" spans="1:15" x14ac:dyDescent="0.35">
      <c r="A82" s="119" t="s">
        <v>165</v>
      </c>
      <c r="B82" s="50">
        <f t="shared" ref="B82:F82" si="33">SUM(B77:B81)</f>
        <v>52500</v>
      </c>
      <c r="C82" s="51">
        <f t="shared" si="33"/>
        <v>4475070</v>
      </c>
      <c r="D82" s="51">
        <f t="shared" si="33"/>
        <v>6538939.7599999998</v>
      </c>
      <c r="E82" s="51">
        <f t="shared" si="33"/>
        <v>8489230.8687199987</v>
      </c>
      <c r="F82" s="51">
        <f t="shared" si="33"/>
        <v>10806843.645224718</v>
      </c>
      <c r="G82" s="51">
        <f>SUM(G77:G81)</f>
        <v>12747781.673467435</v>
      </c>
      <c r="H82" s="50">
        <f>SUM(H77:H81)</f>
        <v>14453561.503367554</v>
      </c>
      <c r="I82" s="40"/>
    </row>
    <row r="83" spans="1:15" x14ac:dyDescent="0.35">
      <c r="A83" s="109"/>
      <c r="B83" s="110"/>
      <c r="C83" s="111"/>
      <c r="D83" s="111"/>
      <c r="E83" s="111"/>
      <c r="F83" s="111"/>
      <c r="G83" s="111"/>
      <c r="H83" s="110"/>
      <c r="I83" s="40"/>
    </row>
    <row r="84" spans="1:15" x14ac:dyDescent="0.35">
      <c r="A84" s="76" t="s">
        <v>6</v>
      </c>
      <c r="B84" s="120"/>
      <c r="C84" s="121"/>
      <c r="D84" s="121"/>
      <c r="E84" s="121"/>
      <c r="F84" s="121"/>
      <c r="G84" s="121"/>
      <c r="H84" s="120"/>
      <c r="I84" s="40"/>
    </row>
    <row r="85" spans="1:15" x14ac:dyDescent="0.35">
      <c r="A85" s="122" t="s">
        <v>7</v>
      </c>
      <c r="B85" s="123" t="str">
        <f t="shared" ref="B85:H85" si="34">B1</f>
        <v>20-21 (Pre-Op)</v>
      </c>
      <c r="C85" s="124" t="str">
        <f t="shared" si="34"/>
        <v>21-22</v>
      </c>
      <c r="D85" s="124" t="str">
        <f t="shared" si="34"/>
        <v>22-23</v>
      </c>
      <c r="E85" s="124" t="str">
        <f t="shared" si="34"/>
        <v>23-24</v>
      </c>
      <c r="F85" s="124" t="str">
        <f t="shared" si="34"/>
        <v>24-25</v>
      </c>
      <c r="G85" s="124" t="str">
        <f t="shared" si="34"/>
        <v>25-26</v>
      </c>
      <c r="H85" s="123" t="str">
        <f t="shared" si="34"/>
        <v>26-27</v>
      </c>
      <c r="I85" s="40"/>
    </row>
    <row r="86" spans="1:15" x14ac:dyDescent="0.35">
      <c r="A86" s="81" t="s">
        <v>8</v>
      </c>
      <c r="B86" s="115">
        <f>100000*B40</f>
        <v>0</v>
      </c>
      <c r="C86" s="116">
        <f>100000*C40</f>
        <v>100000</v>
      </c>
      <c r="D86" s="116">
        <f t="shared" ref="D86:H86" si="35">C86*1.015</f>
        <v>101499.99999999999</v>
      </c>
      <c r="E86" s="116">
        <f t="shared" si="35"/>
        <v>103022.49999999997</v>
      </c>
      <c r="F86" s="116">
        <f t="shared" si="35"/>
        <v>104567.83749999997</v>
      </c>
      <c r="G86" s="116">
        <f t="shared" si="35"/>
        <v>106136.35506249995</v>
      </c>
      <c r="H86" s="115">
        <f t="shared" si="35"/>
        <v>107728.40038843744</v>
      </c>
      <c r="I86" s="40"/>
      <c r="K86" s="45"/>
    </row>
    <row r="87" spans="1:15" x14ac:dyDescent="0.35">
      <c r="A87" s="81" t="s">
        <v>9</v>
      </c>
      <c r="B87" s="115">
        <v>0</v>
      </c>
      <c r="C87" s="116">
        <f>75000</f>
        <v>75000</v>
      </c>
      <c r="D87" s="116">
        <f>C87*1.015+75000</f>
        <v>151125</v>
      </c>
      <c r="E87" s="116">
        <f>D87*1.015</f>
        <v>153391.87499999997</v>
      </c>
      <c r="F87" s="116">
        <f>E87*1.015+75000</f>
        <v>230692.75312499996</v>
      </c>
      <c r="G87" s="116">
        <f>F87*1.015</f>
        <v>234153.14442187492</v>
      </c>
      <c r="H87" s="115">
        <f>G87*1.015</f>
        <v>237665.44158820302</v>
      </c>
      <c r="I87" s="40"/>
      <c r="K87" s="45"/>
    </row>
    <row r="88" spans="1:15" x14ac:dyDescent="0.35">
      <c r="A88" s="81" t="s">
        <v>140</v>
      </c>
      <c r="B88" s="115">
        <v>0</v>
      </c>
      <c r="C88" s="116">
        <v>57000</v>
      </c>
      <c r="D88" s="116">
        <f t="shared" ref="D88:H89" si="36">C88*1.015</f>
        <v>57854.999999999993</v>
      </c>
      <c r="E88" s="116">
        <f t="shared" si="36"/>
        <v>58722.82499999999</v>
      </c>
      <c r="F88" s="116">
        <f t="shared" si="36"/>
        <v>59603.667374999983</v>
      </c>
      <c r="G88" s="116">
        <f t="shared" si="36"/>
        <v>60497.722385624977</v>
      </c>
      <c r="H88" s="115">
        <f t="shared" si="36"/>
        <v>61405.188221409342</v>
      </c>
      <c r="I88" s="40"/>
      <c r="K88" s="45"/>
    </row>
    <row r="89" spans="1:15" x14ac:dyDescent="0.35">
      <c r="A89" s="81" t="s">
        <v>10</v>
      </c>
      <c r="B89" s="115">
        <v>0</v>
      </c>
      <c r="C89" s="116">
        <v>0</v>
      </c>
      <c r="D89" s="125">
        <v>0</v>
      </c>
      <c r="E89" s="116">
        <v>57000</v>
      </c>
      <c r="F89" s="116">
        <f>E89*1.015+57000</f>
        <v>114855</v>
      </c>
      <c r="G89" s="116">
        <f t="shared" si="36"/>
        <v>116577.82499999998</v>
      </c>
      <c r="H89" s="115">
        <f t="shared" si="36"/>
        <v>118326.49237499997</v>
      </c>
      <c r="I89" s="40"/>
      <c r="J89" s="14"/>
      <c r="K89" s="45"/>
    </row>
    <row r="90" spans="1:15" x14ac:dyDescent="0.35">
      <c r="A90" s="81" t="s">
        <v>12</v>
      </c>
      <c r="B90" s="115">
        <v>0</v>
      </c>
      <c r="C90" s="116">
        <v>0</v>
      </c>
      <c r="D90" s="116">
        <f>(C90*1.015)+55000</f>
        <v>55000</v>
      </c>
      <c r="E90" s="116">
        <f>D90*1.015</f>
        <v>55824.999999999993</v>
      </c>
      <c r="F90" s="116">
        <f>E90*1.015+55000</f>
        <v>111662.37499999999</v>
      </c>
      <c r="G90" s="116">
        <f>F90*1.015+57000</f>
        <v>170337.31062499998</v>
      </c>
      <c r="H90" s="115">
        <f>G90*1.015+57000</f>
        <v>229892.37028437498</v>
      </c>
      <c r="I90" s="40"/>
      <c r="K90" s="45"/>
    </row>
    <row r="91" spans="1:15" x14ac:dyDescent="0.35">
      <c r="A91" s="81" t="s">
        <v>14</v>
      </c>
      <c r="B91" s="115">
        <f>(B36-B27)*42500</f>
        <v>0</v>
      </c>
      <c r="C91" s="116">
        <f>(C36-C27)*42500</f>
        <v>1062500</v>
      </c>
      <c r="D91" s="116">
        <f>(D36-D27)*43200</f>
        <v>1512000</v>
      </c>
      <c r="E91" s="116">
        <f>(E36-E27)*43800</f>
        <v>1883400</v>
      </c>
      <c r="F91" s="116">
        <f>(F36-F27)*44500</f>
        <v>2447500</v>
      </c>
      <c r="G91" s="116">
        <f>(G36-G27)*45150</f>
        <v>2934750</v>
      </c>
      <c r="H91" s="115">
        <f>(H36-H27)*45850</f>
        <v>3255350</v>
      </c>
      <c r="I91" s="40"/>
      <c r="K91" s="40"/>
      <c r="L91" s="40"/>
      <c r="M91" s="40"/>
      <c r="N91" s="40"/>
      <c r="O91" s="40"/>
    </row>
    <row r="92" spans="1:15" x14ac:dyDescent="0.35">
      <c r="A92" s="81" t="s">
        <v>15</v>
      </c>
      <c r="B92" s="115">
        <f>B27*42500</f>
        <v>0</v>
      </c>
      <c r="C92" s="116">
        <f>C27*42500</f>
        <v>127500</v>
      </c>
      <c r="D92" s="116">
        <f>D27*43200</f>
        <v>194400</v>
      </c>
      <c r="E92" s="116">
        <f>E27*43800</f>
        <v>240900</v>
      </c>
      <c r="F92" s="116">
        <f>F27*44500</f>
        <v>311500</v>
      </c>
      <c r="G92" s="116">
        <f>G27*45150</f>
        <v>361200</v>
      </c>
      <c r="H92" s="115">
        <f>H27*45850</f>
        <v>412650</v>
      </c>
      <c r="I92" s="40"/>
      <c r="K92" s="45"/>
      <c r="L92" s="45"/>
      <c r="M92" s="45"/>
      <c r="N92" s="45"/>
    </row>
    <row r="93" spans="1:15" x14ac:dyDescent="0.35">
      <c r="A93" s="81" t="s">
        <v>16</v>
      </c>
      <c r="B93" s="115">
        <v>0</v>
      </c>
      <c r="C93" s="116">
        <f>40000</f>
        <v>40000</v>
      </c>
      <c r="D93" s="116">
        <f>C93*1.015+40000</f>
        <v>80600</v>
      </c>
      <c r="E93" s="116">
        <f>D93*1.015</f>
        <v>81808.999999999985</v>
      </c>
      <c r="F93" s="116">
        <f>E93*1.015+25000</f>
        <v>108036.13499999998</v>
      </c>
      <c r="G93" s="116">
        <f>F93*1.015+27000</f>
        <v>136656.67702499998</v>
      </c>
      <c r="H93" s="115">
        <f>G93*1.015+50000</f>
        <v>188706.52718037498</v>
      </c>
      <c r="I93" s="45"/>
      <c r="K93" s="45"/>
      <c r="L93" s="45"/>
      <c r="M93" s="45"/>
      <c r="N93" s="45"/>
    </row>
    <row r="94" spans="1:15" x14ac:dyDescent="0.35">
      <c r="A94" s="81" t="s">
        <v>17</v>
      </c>
      <c r="B94" s="115">
        <f>(13*8*190)*(B47+B48)</f>
        <v>0</v>
      </c>
      <c r="C94" s="116">
        <f>(13*8*190)*(C47+C48)</f>
        <v>19760</v>
      </c>
      <c r="D94" s="116">
        <f>(13.25*8*190)*(D47+D48)</f>
        <v>40280</v>
      </c>
      <c r="E94" s="116">
        <f>(13.5*8*190)*(E47+E48)</f>
        <v>61560</v>
      </c>
      <c r="F94" s="116">
        <f>(13.75*8*190)*(F47+F48)</f>
        <v>62700</v>
      </c>
      <c r="G94" s="116">
        <f>(14*8*190)*(G47+G48)</f>
        <v>85120</v>
      </c>
      <c r="H94" s="115">
        <f>(14.25*8*190)*(H47+H48)</f>
        <v>86640</v>
      </c>
      <c r="I94" s="40"/>
      <c r="K94" s="45"/>
    </row>
    <row r="95" spans="1:15" x14ac:dyDescent="0.35">
      <c r="A95" s="81" t="s">
        <v>18</v>
      </c>
      <c r="B95" s="115">
        <f>(13*8*180)*B49</f>
        <v>0</v>
      </c>
      <c r="C95" s="116">
        <f>(13*8*180)*C49</f>
        <v>18720</v>
      </c>
      <c r="D95" s="116">
        <f>(13.25*8*180)*D49</f>
        <v>95400</v>
      </c>
      <c r="E95" s="116">
        <f>(13.5*8*180)*E49</f>
        <v>116640</v>
      </c>
      <c r="F95" s="116">
        <f>(13.75*8*180)*F49</f>
        <v>158400</v>
      </c>
      <c r="G95" s="116">
        <f>(14*8*180)*G49</f>
        <v>282240</v>
      </c>
      <c r="H95" s="115">
        <f>(14.25*8*180)*H49</f>
        <v>328320</v>
      </c>
      <c r="I95" s="40"/>
      <c r="K95" s="45"/>
    </row>
    <row r="96" spans="1:15" x14ac:dyDescent="0.35">
      <c r="A96" s="81" t="s">
        <v>19</v>
      </c>
      <c r="B96" s="115">
        <f>((13*8*240)*B50)</f>
        <v>0</v>
      </c>
      <c r="C96" s="116">
        <f>((13*8*240)*C50)</f>
        <v>24960</v>
      </c>
      <c r="D96" s="116">
        <f>((13.25*8*240)*D50)</f>
        <v>25440</v>
      </c>
      <c r="E96" s="116">
        <f>((13.5*8*240)*E50)</f>
        <v>25920</v>
      </c>
      <c r="F96" s="116">
        <f>((13.75*8*240)*F50)</f>
        <v>52800</v>
      </c>
      <c r="G96" s="116">
        <f>((14*8*240)*G50)</f>
        <v>53760</v>
      </c>
      <c r="H96" s="115">
        <f>((14.25*8*240)*H50)</f>
        <v>54720</v>
      </c>
      <c r="I96" s="40"/>
      <c r="K96" s="45"/>
    </row>
    <row r="97" spans="1:13" x14ac:dyDescent="0.35">
      <c r="A97" s="126" t="s">
        <v>21</v>
      </c>
      <c r="B97" s="127">
        <f>SUM(B86:B96)</f>
        <v>0</v>
      </c>
      <c r="C97" s="128">
        <f>SUM(C86:C96)</f>
        <v>1525440</v>
      </c>
      <c r="D97" s="128">
        <f t="shared" ref="D97:H97" si="37">SUM(D86:D96)</f>
        <v>2313600</v>
      </c>
      <c r="E97" s="128">
        <f t="shared" si="37"/>
        <v>2838191.2</v>
      </c>
      <c r="F97" s="128">
        <f t="shared" si="37"/>
        <v>3762317.7679999997</v>
      </c>
      <c r="G97" s="128">
        <f t="shared" si="37"/>
        <v>4541429.0345200002</v>
      </c>
      <c r="H97" s="127">
        <f t="shared" si="37"/>
        <v>5081404.4200377995</v>
      </c>
      <c r="I97" s="40"/>
    </row>
    <row r="98" spans="1:13" x14ac:dyDescent="0.35">
      <c r="A98" s="81"/>
      <c r="B98" s="53"/>
      <c r="C98" s="54"/>
      <c r="D98" s="54"/>
      <c r="E98" s="54"/>
      <c r="F98" s="54"/>
      <c r="G98" s="54"/>
      <c r="H98" s="53"/>
      <c r="I98" s="40"/>
    </row>
    <row r="99" spans="1:13" x14ac:dyDescent="0.35">
      <c r="A99" s="126" t="s">
        <v>22</v>
      </c>
      <c r="B99" s="129"/>
      <c r="C99" s="130"/>
      <c r="D99" s="130"/>
      <c r="E99" s="130"/>
      <c r="F99" s="130"/>
      <c r="G99" s="130"/>
      <c r="H99" s="129"/>
      <c r="I99" s="40"/>
    </row>
    <row r="100" spans="1:13" x14ac:dyDescent="0.35">
      <c r="A100" s="81" t="s">
        <v>23</v>
      </c>
      <c r="B100" s="115">
        <v>0</v>
      </c>
      <c r="C100" s="116">
        <v>0</v>
      </c>
      <c r="D100" s="116">
        <f t="shared" ref="D100:H103" si="38">C100*1.015</f>
        <v>0</v>
      </c>
      <c r="E100" s="116">
        <f t="shared" si="38"/>
        <v>0</v>
      </c>
      <c r="F100" s="116">
        <f t="shared" si="38"/>
        <v>0</v>
      </c>
      <c r="G100" s="116">
        <f t="shared" si="38"/>
        <v>0</v>
      </c>
      <c r="H100" s="115">
        <f t="shared" si="38"/>
        <v>0</v>
      </c>
      <c r="I100" s="40"/>
    </row>
    <row r="101" spans="1:13" x14ac:dyDescent="0.35">
      <c r="A101" s="81" t="s">
        <v>24</v>
      </c>
      <c r="B101" s="115">
        <v>0</v>
      </c>
      <c r="C101" s="116">
        <v>0</v>
      </c>
      <c r="D101" s="116">
        <f t="shared" si="38"/>
        <v>0</v>
      </c>
      <c r="E101" s="116">
        <f t="shared" si="38"/>
        <v>0</v>
      </c>
      <c r="F101" s="116">
        <f t="shared" si="38"/>
        <v>0</v>
      </c>
      <c r="G101" s="116">
        <f t="shared" si="38"/>
        <v>0</v>
      </c>
      <c r="H101" s="115">
        <f t="shared" si="38"/>
        <v>0</v>
      </c>
      <c r="I101" s="40"/>
    </row>
    <row r="102" spans="1:13" x14ac:dyDescent="0.35">
      <c r="A102" s="81" t="s">
        <v>25</v>
      </c>
      <c r="B102" s="115">
        <v>0</v>
      </c>
      <c r="C102" s="116">
        <v>0</v>
      </c>
      <c r="D102" s="116">
        <f t="shared" si="38"/>
        <v>0</v>
      </c>
      <c r="E102" s="116">
        <f t="shared" si="38"/>
        <v>0</v>
      </c>
      <c r="F102" s="116">
        <f t="shared" si="38"/>
        <v>0</v>
      </c>
      <c r="G102" s="116">
        <f t="shared" si="38"/>
        <v>0</v>
      </c>
      <c r="H102" s="115">
        <f t="shared" si="38"/>
        <v>0</v>
      </c>
      <c r="I102" s="40"/>
    </row>
    <row r="103" spans="1:13" x14ac:dyDescent="0.35">
      <c r="A103" s="81" t="s">
        <v>26</v>
      </c>
      <c r="B103" s="115">
        <v>0</v>
      </c>
      <c r="C103" s="116">
        <v>0</v>
      </c>
      <c r="D103" s="116">
        <f t="shared" si="38"/>
        <v>0</v>
      </c>
      <c r="E103" s="116">
        <f t="shared" si="38"/>
        <v>0</v>
      </c>
      <c r="F103" s="116">
        <f t="shared" si="38"/>
        <v>0</v>
      </c>
      <c r="G103" s="116">
        <f t="shared" si="38"/>
        <v>0</v>
      </c>
      <c r="H103" s="115">
        <v>50000</v>
      </c>
      <c r="I103" s="40"/>
      <c r="K103" s="131"/>
      <c r="L103" s="131"/>
    </row>
    <row r="104" spans="1:13" x14ac:dyDescent="0.35">
      <c r="A104" s="81" t="s">
        <v>20</v>
      </c>
      <c r="B104" s="115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5">
        <v>0</v>
      </c>
      <c r="I104" s="40"/>
    </row>
    <row r="105" spans="1:13" x14ac:dyDescent="0.35">
      <c r="A105" s="81" t="s">
        <v>166</v>
      </c>
      <c r="B105" s="115">
        <f>(14*8*180)*B51</f>
        <v>0</v>
      </c>
      <c r="C105" s="116">
        <f>(14*8*180)*C51</f>
        <v>20160</v>
      </c>
      <c r="D105" s="116">
        <f>(14.25*8*180)*D51</f>
        <v>20520</v>
      </c>
      <c r="E105" s="116">
        <f>(14.5*8*180)*E51</f>
        <v>41760</v>
      </c>
      <c r="F105" s="116">
        <f>(14.75*8*180)*F51</f>
        <v>42480</v>
      </c>
      <c r="G105" s="116">
        <f>(15*8*180)*G51</f>
        <v>43200</v>
      </c>
      <c r="H105" s="115">
        <f>(15.25*8*180)*H51</f>
        <v>65880</v>
      </c>
      <c r="I105" s="40"/>
      <c r="K105" s="40"/>
    </row>
    <row r="106" spans="1:13" x14ac:dyDescent="0.35">
      <c r="A106" s="81" t="s">
        <v>29</v>
      </c>
      <c r="B106" s="115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v>0</v>
      </c>
      <c r="H106" s="115">
        <v>0</v>
      </c>
      <c r="I106" s="40"/>
      <c r="K106" s="45"/>
    </row>
    <row r="107" spans="1:13" x14ac:dyDescent="0.35">
      <c r="A107" s="132" t="s">
        <v>30</v>
      </c>
      <c r="B107" s="133">
        <f>SUM(B100:B106)+B97</f>
        <v>0</v>
      </c>
      <c r="C107" s="134">
        <f>SUM(C100:C106)+C97</f>
        <v>1545600</v>
      </c>
      <c r="D107" s="135">
        <f t="shared" ref="D107:G107" si="39">SUM(D100:D106)+D97</f>
        <v>2334120</v>
      </c>
      <c r="E107" s="135">
        <f t="shared" si="39"/>
        <v>2879951.2</v>
      </c>
      <c r="F107" s="135">
        <f t="shared" si="39"/>
        <v>3804797.7679999997</v>
      </c>
      <c r="G107" s="135">
        <f t="shared" si="39"/>
        <v>4584629.0345200002</v>
      </c>
      <c r="H107" s="133">
        <f t="shared" ref="H107" si="40">SUM(H100:H106)+H97</f>
        <v>5197284.4200377995</v>
      </c>
      <c r="I107" s="40"/>
    </row>
    <row r="108" spans="1:13" x14ac:dyDescent="0.35">
      <c r="A108" s="81" t="s">
        <v>167</v>
      </c>
      <c r="B108" s="115">
        <f t="shared" ref="B108:H108" si="41">B107*0.2925</f>
        <v>0</v>
      </c>
      <c r="C108" s="136">
        <f t="shared" si="41"/>
        <v>452088</v>
      </c>
      <c r="D108" s="116">
        <f t="shared" si="41"/>
        <v>682730.1</v>
      </c>
      <c r="E108" s="116">
        <f t="shared" si="41"/>
        <v>842385.72600000002</v>
      </c>
      <c r="F108" s="116">
        <f t="shared" si="41"/>
        <v>1112903.3471399997</v>
      </c>
      <c r="G108" s="116">
        <f t="shared" si="41"/>
        <v>1341003.9925971001</v>
      </c>
      <c r="H108" s="115">
        <f t="shared" si="41"/>
        <v>1520205.6928610562</v>
      </c>
      <c r="I108" s="40"/>
      <c r="K108" s="14"/>
    </row>
    <row r="109" spans="1:13" x14ac:dyDescent="0.35">
      <c r="A109" s="81" t="s">
        <v>32</v>
      </c>
      <c r="B109" s="115">
        <f>B107*0.1725</f>
        <v>0</v>
      </c>
      <c r="C109" s="136">
        <f>C107*0.1725</f>
        <v>266616</v>
      </c>
      <c r="D109" s="116">
        <f>D107*0.175</f>
        <v>408471</v>
      </c>
      <c r="E109" s="116">
        <f>E107*0.1775</f>
        <v>511191.33799999999</v>
      </c>
      <c r="F109" s="116">
        <f>F107*0.18</f>
        <v>684863.59823999996</v>
      </c>
      <c r="G109" s="116">
        <f>G107*0.1825</f>
        <v>836694.79879989999</v>
      </c>
      <c r="H109" s="115">
        <f>H107*0.185</f>
        <v>961497.6177069929</v>
      </c>
      <c r="I109" s="45"/>
      <c r="K109" s="14"/>
      <c r="L109" s="40"/>
      <c r="M109" s="40"/>
    </row>
    <row r="110" spans="1:13" x14ac:dyDescent="0.35">
      <c r="A110" s="81" t="s">
        <v>33</v>
      </c>
      <c r="B110" s="115">
        <v>0</v>
      </c>
      <c r="C110" s="136">
        <v>0</v>
      </c>
      <c r="D110" s="116">
        <v>0</v>
      </c>
      <c r="E110" s="116">
        <v>0</v>
      </c>
      <c r="F110" s="116">
        <v>0</v>
      </c>
      <c r="G110" s="54">
        <v>0</v>
      </c>
      <c r="H110" s="53">
        <v>0</v>
      </c>
      <c r="I110" s="40"/>
      <c r="K110" s="40"/>
    </row>
    <row r="111" spans="1:13" x14ac:dyDescent="0.35">
      <c r="A111" s="81" t="s">
        <v>34</v>
      </c>
      <c r="B111" s="115">
        <v>0</v>
      </c>
      <c r="C111" s="136">
        <v>5000</v>
      </c>
      <c r="D111" s="116">
        <v>5000</v>
      </c>
      <c r="E111" s="116">
        <v>5000</v>
      </c>
      <c r="F111" s="116">
        <v>5000</v>
      </c>
      <c r="G111" s="116">
        <v>5000</v>
      </c>
      <c r="H111" s="115">
        <v>5000</v>
      </c>
      <c r="I111" s="40"/>
    </row>
    <row r="112" spans="1:13" x14ac:dyDescent="0.35">
      <c r="A112" s="81" t="s">
        <v>35</v>
      </c>
      <c r="B112" s="115">
        <f t="shared" ref="B112:H112" si="42">(B36*10*165)-B106</f>
        <v>0</v>
      </c>
      <c r="C112" s="116">
        <f t="shared" si="42"/>
        <v>46200</v>
      </c>
      <c r="D112" s="116">
        <f t="shared" si="42"/>
        <v>65175</v>
      </c>
      <c r="E112" s="116">
        <f t="shared" si="42"/>
        <v>80025</v>
      </c>
      <c r="F112" s="116">
        <f t="shared" si="42"/>
        <v>102300</v>
      </c>
      <c r="G112" s="116">
        <f t="shared" si="42"/>
        <v>120450</v>
      </c>
      <c r="H112" s="115">
        <f t="shared" si="42"/>
        <v>132000</v>
      </c>
      <c r="I112" s="40"/>
      <c r="K112" s="40"/>
    </row>
    <row r="113" spans="1:11" x14ac:dyDescent="0.35">
      <c r="A113" s="137" t="s">
        <v>36</v>
      </c>
      <c r="B113" s="50">
        <f t="shared" ref="B113" si="43">SUM(B107:B112)</f>
        <v>0</v>
      </c>
      <c r="C113" s="51">
        <f t="shared" ref="C113:H113" si="44">SUM(C107:C112)</f>
        <v>2315504</v>
      </c>
      <c r="D113" s="51">
        <f t="shared" si="44"/>
        <v>3495496.1</v>
      </c>
      <c r="E113" s="51">
        <f t="shared" si="44"/>
        <v>4318553.2640000004</v>
      </c>
      <c r="F113" s="51">
        <f t="shared" si="44"/>
        <v>5709864.7133799996</v>
      </c>
      <c r="G113" s="51">
        <f t="shared" si="44"/>
        <v>6887777.8259170009</v>
      </c>
      <c r="H113" s="50">
        <f t="shared" si="44"/>
        <v>7815987.7306058481</v>
      </c>
      <c r="I113" s="40"/>
      <c r="K113" s="40"/>
    </row>
    <row r="114" spans="1:11" x14ac:dyDescent="0.35">
      <c r="A114" s="138" t="s">
        <v>168</v>
      </c>
      <c r="B114" s="123" t="str">
        <f t="shared" ref="B114:H114" si="45">B1</f>
        <v>20-21 (Pre-Op)</v>
      </c>
      <c r="C114" s="124" t="str">
        <f t="shared" si="45"/>
        <v>21-22</v>
      </c>
      <c r="D114" s="124" t="str">
        <f t="shared" si="45"/>
        <v>22-23</v>
      </c>
      <c r="E114" s="124" t="str">
        <f t="shared" si="45"/>
        <v>23-24</v>
      </c>
      <c r="F114" s="124" t="str">
        <f t="shared" si="45"/>
        <v>24-25</v>
      </c>
      <c r="G114" s="124" t="str">
        <f t="shared" si="45"/>
        <v>25-26</v>
      </c>
      <c r="H114" s="123" t="str">
        <f t="shared" si="45"/>
        <v>26-27</v>
      </c>
      <c r="I114" s="40"/>
      <c r="K114" s="40"/>
    </row>
    <row r="115" spans="1:11" x14ac:dyDescent="0.35">
      <c r="A115" s="139" t="s">
        <v>38</v>
      </c>
      <c r="B115" s="115">
        <f>(100*B17)*0.25</f>
        <v>0</v>
      </c>
      <c r="C115" s="116">
        <f>(100*C17)*0.25</f>
        <v>14250</v>
      </c>
      <c r="D115" s="116">
        <f t="shared" ref="D115:H115" si="46">100*D17</f>
        <v>79000</v>
      </c>
      <c r="E115" s="116">
        <f t="shared" si="46"/>
        <v>101000</v>
      </c>
      <c r="F115" s="116">
        <f t="shared" si="46"/>
        <v>127000</v>
      </c>
      <c r="G115" s="116">
        <f t="shared" si="46"/>
        <v>147500</v>
      </c>
      <c r="H115" s="115">
        <f t="shared" si="46"/>
        <v>165000</v>
      </c>
      <c r="I115" s="40"/>
    </row>
    <row r="116" spans="1:11" x14ac:dyDescent="0.35">
      <c r="A116" s="81" t="s">
        <v>39</v>
      </c>
      <c r="B116" s="115">
        <v>0</v>
      </c>
      <c r="C116" s="116">
        <v>110000</v>
      </c>
      <c r="D116" s="116">
        <v>200000</v>
      </c>
      <c r="E116" s="116">
        <v>260000</v>
      </c>
      <c r="F116" s="116">
        <v>330000</v>
      </c>
      <c r="G116" s="116">
        <v>285000</v>
      </c>
      <c r="H116" s="115">
        <v>245000</v>
      </c>
      <c r="I116" s="40"/>
    </row>
    <row r="117" spans="1:11" x14ac:dyDescent="0.35">
      <c r="A117" s="76" t="s">
        <v>40</v>
      </c>
      <c r="B117" s="115">
        <f t="shared" ref="B117:H117" si="47">13*B17</f>
        <v>0</v>
      </c>
      <c r="C117" s="116">
        <f t="shared" si="47"/>
        <v>7410</v>
      </c>
      <c r="D117" s="116">
        <f t="shared" si="47"/>
        <v>10270</v>
      </c>
      <c r="E117" s="116">
        <f t="shared" si="47"/>
        <v>13130</v>
      </c>
      <c r="F117" s="116">
        <f t="shared" si="47"/>
        <v>16510</v>
      </c>
      <c r="G117" s="116">
        <f t="shared" si="47"/>
        <v>19175</v>
      </c>
      <c r="H117" s="115">
        <f t="shared" si="47"/>
        <v>21450</v>
      </c>
      <c r="I117" s="40"/>
      <c r="K117" s="40"/>
    </row>
    <row r="118" spans="1:11" x14ac:dyDescent="0.35">
      <c r="A118" s="81" t="s">
        <v>41</v>
      </c>
      <c r="B118" s="115">
        <f t="shared" ref="B118:H118" si="48">27*B17</f>
        <v>0</v>
      </c>
      <c r="C118" s="116">
        <f t="shared" si="48"/>
        <v>15390</v>
      </c>
      <c r="D118" s="116">
        <f t="shared" si="48"/>
        <v>21330</v>
      </c>
      <c r="E118" s="116">
        <f t="shared" si="48"/>
        <v>27270</v>
      </c>
      <c r="F118" s="116">
        <f t="shared" si="48"/>
        <v>34290</v>
      </c>
      <c r="G118" s="116">
        <f t="shared" si="48"/>
        <v>39825</v>
      </c>
      <c r="H118" s="115">
        <f t="shared" si="48"/>
        <v>44550</v>
      </c>
      <c r="I118" s="40"/>
    </row>
    <row r="119" spans="1:11" x14ac:dyDescent="0.35">
      <c r="A119" s="81" t="s">
        <v>42</v>
      </c>
      <c r="B119" s="115">
        <f t="shared" ref="B119:H119" si="49">4*B17</f>
        <v>0</v>
      </c>
      <c r="C119" s="116">
        <f t="shared" si="49"/>
        <v>2280</v>
      </c>
      <c r="D119" s="116">
        <f t="shared" si="49"/>
        <v>3160</v>
      </c>
      <c r="E119" s="116">
        <f t="shared" si="49"/>
        <v>4040</v>
      </c>
      <c r="F119" s="116">
        <f t="shared" si="49"/>
        <v>5080</v>
      </c>
      <c r="G119" s="116">
        <f t="shared" si="49"/>
        <v>5900</v>
      </c>
      <c r="H119" s="115">
        <f t="shared" si="49"/>
        <v>6600</v>
      </c>
      <c r="I119" s="40"/>
    </row>
    <row r="120" spans="1:11" x14ac:dyDescent="0.35">
      <c r="A120" s="81" t="s">
        <v>43</v>
      </c>
      <c r="B120" s="115">
        <f>3*B17</f>
        <v>0</v>
      </c>
      <c r="C120" s="116">
        <f>3*C17</f>
        <v>1710</v>
      </c>
      <c r="D120" s="116">
        <f t="shared" ref="D120:H120" si="50">3*D17</f>
        <v>2370</v>
      </c>
      <c r="E120" s="116">
        <f t="shared" si="50"/>
        <v>3030</v>
      </c>
      <c r="F120" s="116">
        <f t="shared" si="50"/>
        <v>3810</v>
      </c>
      <c r="G120" s="116">
        <f t="shared" si="50"/>
        <v>4425</v>
      </c>
      <c r="H120" s="115">
        <f t="shared" si="50"/>
        <v>4950</v>
      </c>
      <c r="I120" s="40"/>
    </row>
    <row r="121" spans="1:11" x14ac:dyDescent="0.35">
      <c r="A121" s="81" t="s">
        <v>44</v>
      </c>
      <c r="B121" s="115">
        <f t="shared" ref="B121:H121" si="51">120*B20</f>
        <v>0</v>
      </c>
      <c r="C121" s="116">
        <f t="shared" si="51"/>
        <v>8207.9999999999982</v>
      </c>
      <c r="D121" s="116">
        <f t="shared" si="51"/>
        <v>11376</v>
      </c>
      <c r="E121" s="116">
        <f t="shared" si="51"/>
        <v>14543.999999999998</v>
      </c>
      <c r="F121" s="116">
        <f t="shared" si="51"/>
        <v>18288</v>
      </c>
      <c r="G121" s="116">
        <f t="shared" si="51"/>
        <v>21240</v>
      </c>
      <c r="H121" s="115">
        <f t="shared" si="51"/>
        <v>23760</v>
      </c>
      <c r="I121" s="40"/>
    </row>
    <row r="122" spans="1:11" x14ac:dyDescent="0.35">
      <c r="A122" s="81" t="s">
        <v>169</v>
      </c>
      <c r="B122" s="115">
        <v>0</v>
      </c>
      <c r="C122" s="116">
        <v>1000</v>
      </c>
      <c r="D122" s="116">
        <v>1000</v>
      </c>
      <c r="E122" s="116">
        <v>20000</v>
      </c>
      <c r="F122" s="116">
        <f t="shared" ref="F122:H122" si="52">E122+5000</f>
        <v>25000</v>
      </c>
      <c r="G122" s="116">
        <f t="shared" si="52"/>
        <v>30000</v>
      </c>
      <c r="H122" s="115">
        <f t="shared" si="52"/>
        <v>35000</v>
      </c>
      <c r="I122" s="40"/>
    </row>
    <row r="123" spans="1:11" x14ac:dyDescent="0.35">
      <c r="A123" s="81" t="s">
        <v>67</v>
      </c>
      <c r="B123" s="115">
        <v>0</v>
      </c>
      <c r="C123" s="116">
        <v>5000</v>
      </c>
      <c r="D123" s="116">
        <v>5500</v>
      </c>
      <c r="E123" s="116">
        <v>6000</v>
      </c>
      <c r="F123" s="116">
        <v>6500</v>
      </c>
      <c r="G123" s="116">
        <v>7000</v>
      </c>
      <c r="H123" s="115">
        <v>8000</v>
      </c>
      <c r="I123" s="40"/>
    </row>
    <row r="124" spans="1:11" x14ac:dyDescent="0.35">
      <c r="A124" s="81" t="s">
        <v>159</v>
      </c>
      <c r="B124" s="115">
        <v>0</v>
      </c>
      <c r="C124" s="116">
        <f>((C17*C23)*2.5)*180</f>
        <v>243675</v>
      </c>
      <c r="D124" s="116">
        <f t="shared" ref="D124:H124" si="53">((D17*D23)*2.5)*180</f>
        <v>337725</v>
      </c>
      <c r="E124" s="116">
        <f t="shared" si="53"/>
        <v>431775</v>
      </c>
      <c r="F124" s="116">
        <f t="shared" si="53"/>
        <v>542925</v>
      </c>
      <c r="G124" s="116">
        <f t="shared" si="53"/>
        <v>630562.5</v>
      </c>
      <c r="H124" s="116">
        <f t="shared" si="53"/>
        <v>705375</v>
      </c>
      <c r="I124" s="40"/>
      <c r="J124" s="117"/>
    </row>
    <row r="125" spans="1:11" x14ac:dyDescent="0.35">
      <c r="A125" s="81" t="s">
        <v>170</v>
      </c>
      <c r="B125" s="115">
        <v>8800</v>
      </c>
      <c r="C125" s="116">
        <v>2000</v>
      </c>
      <c r="D125" s="116">
        <v>2000</v>
      </c>
      <c r="E125" s="116">
        <v>2000</v>
      </c>
      <c r="F125" s="116">
        <v>2000</v>
      </c>
      <c r="G125" s="116">
        <v>2000</v>
      </c>
      <c r="H125" s="115">
        <v>2000</v>
      </c>
      <c r="I125" s="40"/>
    </row>
    <row r="126" spans="1:11" x14ac:dyDescent="0.35">
      <c r="A126" s="81" t="s">
        <v>47</v>
      </c>
      <c r="B126" s="115">
        <f>175*B17</f>
        <v>0</v>
      </c>
      <c r="C126" s="116">
        <f>175*C17</f>
        <v>99750</v>
      </c>
      <c r="D126" s="116">
        <f>185*D17</f>
        <v>146150</v>
      </c>
      <c r="E126" s="116">
        <f>195*E17</f>
        <v>196950</v>
      </c>
      <c r="F126" s="116">
        <f t="shared" ref="F126" si="54">200*F17</f>
        <v>254000</v>
      </c>
      <c r="G126" s="116">
        <f>225*G17</f>
        <v>331875</v>
      </c>
      <c r="H126" s="115">
        <f>230*H17</f>
        <v>379500</v>
      </c>
      <c r="I126" s="40"/>
    </row>
    <row r="127" spans="1:11" x14ac:dyDescent="0.35">
      <c r="A127" s="81" t="s">
        <v>171</v>
      </c>
      <c r="B127" s="115">
        <v>0</v>
      </c>
      <c r="C127" s="116">
        <v>0</v>
      </c>
      <c r="D127" s="116">
        <f t="shared" ref="D127:H127" si="55">C127*1.05</f>
        <v>0</v>
      </c>
      <c r="E127" s="116">
        <f t="shared" si="55"/>
        <v>0</v>
      </c>
      <c r="F127" s="116">
        <f t="shared" si="55"/>
        <v>0</v>
      </c>
      <c r="G127" s="116">
        <f t="shared" si="55"/>
        <v>0</v>
      </c>
      <c r="H127" s="115">
        <f t="shared" si="55"/>
        <v>0</v>
      </c>
      <c r="I127" s="40"/>
    </row>
    <row r="128" spans="1:11" x14ac:dyDescent="0.35">
      <c r="A128" s="81" t="s">
        <v>48</v>
      </c>
      <c r="B128" s="115">
        <f>450*B17</f>
        <v>0</v>
      </c>
      <c r="C128" s="116">
        <f>450*C17</f>
        <v>256500</v>
      </c>
      <c r="D128" s="116">
        <f t="shared" ref="D128:H128" si="56">450*D17</f>
        <v>355500</v>
      </c>
      <c r="E128" s="116">
        <f t="shared" si="56"/>
        <v>454500</v>
      </c>
      <c r="F128" s="116">
        <f t="shared" si="56"/>
        <v>571500</v>
      </c>
      <c r="G128" s="116">
        <f t="shared" si="56"/>
        <v>663750</v>
      </c>
      <c r="H128" s="115">
        <f t="shared" si="56"/>
        <v>742500</v>
      </c>
      <c r="I128" s="40"/>
    </row>
    <row r="129" spans="1:9" x14ac:dyDescent="0.35">
      <c r="A129" s="81" t="s">
        <v>49</v>
      </c>
      <c r="B129" s="53">
        <v>0</v>
      </c>
      <c r="C129" s="54">
        <f t="shared" ref="C129:H129" si="57">(240*C62)+2000</f>
        <v>10640</v>
      </c>
      <c r="D129" s="54">
        <f t="shared" si="57"/>
        <v>15320</v>
      </c>
      <c r="E129" s="54">
        <f t="shared" si="57"/>
        <v>18440</v>
      </c>
      <c r="F129" s="54">
        <f t="shared" si="57"/>
        <v>23240</v>
      </c>
      <c r="G129" s="54">
        <f t="shared" si="57"/>
        <v>27920</v>
      </c>
      <c r="H129" s="53">
        <f t="shared" si="57"/>
        <v>30800</v>
      </c>
      <c r="I129" s="40"/>
    </row>
    <row r="130" spans="1:9" x14ac:dyDescent="0.35">
      <c r="A130" s="81" t="s">
        <v>50</v>
      </c>
      <c r="B130" s="115">
        <v>0</v>
      </c>
      <c r="C130" s="116">
        <v>0</v>
      </c>
      <c r="D130" s="116">
        <v>20000</v>
      </c>
      <c r="E130" s="116">
        <f t="shared" ref="E130:H130" si="58">D130*1.05</f>
        <v>21000</v>
      </c>
      <c r="F130" s="116">
        <f t="shared" si="58"/>
        <v>22050</v>
      </c>
      <c r="G130" s="116">
        <f t="shared" si="58"/>
        <v>23152.5</v>
      </c>
      <c r="H130" s="115">
        <f t="shared" si="58"/>
        <v>24310.125</v>
      </c>
      <c r="I130" s="40"/>
    </row>
    <row r="131" spans="1:9" x14ac:dyDescent="0.35">
      <c r="A131" s="81" t="s">
        <v>51</v>
      </c>
      <c r="B131" s="115">
        <v>2500</v>
      </c>
      <c r="C131" s="116">
        <v>5000</v>
      </c>
      <c r="D131" s="116">
        <v>5000</v>
      </c>
      <c r="E131" s="116">
        <v>5000</v>
      </c>
      <c r="F131" s="116">
        <v>5000</v>
      </c>
      <c r="G131" s="116">
        <v>5000</v>
      </c>
      <c r="H131" s="115">
        <v>5000</v>
      </c>
      <c r="I131" s="40"/>
    </row>
    <row r="132" spans="1:9" x14ac:dyDescent="0.35">
      <c r="A132" s="76" t="s">
        <v>172</v>
      </c>
      <c r="B132" s="115">
        <f t="shared" ref="B132:H132" si="59">B17*42</f>
        <v>0</v>
      </c>
      <c r="C132" s="116">
        <f t="shared" si="59"/>
        <v>23940</v>
      </c>
      <c r="D132" s="116">
        <f t="shared" si="59"/>
        <v>33180</v>
      </c>
      <c r="E132" s="116">
        <f t="shared" si="59"/>
        <v>42420</v>
      </c>
      <c r="F132" s="116">
        <f t="shared" si="59"/>
        <v>53340</v>
      </c>
      <c r="G132" s="116">
        <f t="shared" si="59"/>
        <v>61950</v>
      </c>
      <c r="H132" s="115">
        <f t="shared" si="59"/>
        <v>69300</v>
      </c>
      <c r="I132" s="40"/>
    </row>
    <row r="133" spans="1:9" x14ac:dyDescent="0.35">
      <c r="A133" s="81" t="s">
        <v>53</v>
      </c>
      <c r="B133" s="115">
        <v>0</v>
      </c>
      <c r="C133" s="116">
        <v>15000</v>
      </c>
      <c r="D133" s="116">
        <v>10000</v>
      </c>
      <c r="E133" s="116">
        <v>10000</v>
      </c>
      <c r="F133" s="116">
        <v>10000</v>
      </c>
      <c r="G133" s="54">
        <v>10000</v>
      </c>
      <c r="H133" s="53">
        <v>10000</v>
      </c>
      <c r="I133" s="40"/>
    </row>
    <row r="134" spans="1:9" x14ac:dyDescent="0.35">
      <c r="A134" s="81" t="s">
        <v>60</v>
      </c>
      <c r="B134" s="115">
        <v>4000</v>
      </c>
      <c r="C134" s="116">
        <v>4000</v>
      </c>
      <c r="D134" s="116">
        <f t="shared" ref="D134:H134" si="60">C134*1.03</f>
        <v>4120</v>
      </c>
      <c r="E134" s="116">
        <f t="shared" si="60"/>
        <v>4243.6000000000004</v>
      </c>
      <c r="F134" s="116">
        <f t="shared" si="60"/>
        <v>4370.9080000000004</v>
      </c>
      <c r="G134" s="116">
        <f t="shared" si="60"/>
        <v>4502.0352400000002</v>
      </c>
      <c r="H134" s="115">
        <f t="shared" si="60"/>
        <v>4637.0962972000007</v>
      </c>
      <c r="I134" s="40"/>
    </row>
    <row r="135" spans="1:9" x14ac:dyDescent="0.35">
      <c r="A135" s="81" t="s">
        <v>61</v>
      </c>
      <c r="B135" s="115">
        <v>3000</v>
      </c>
      <c r="C135" s="116">
        <v>50000</v>
      </c>
      <c r="D135" s="116">
        <f>C135*1.05</f>
        <v>52500</v>
      </c>
      <c r="E135" s="116">
        <f t="shared" ref="E135:H135" si="61">D135*1.05</f>
        <v>55125</v>
      </c>
      <c r="F135" s="116">
        <f t="shared" si="61"/>
        <v>57881.25</v>
      </c>
      <c r="G135" s="116">
        <f t="shared" si="61"/>
        <v>60775.3125</v>
      </c>
      <c r="H135" s="115">
        <f t="shared" si="61"/>
        <v>63814.078125</v>
      </c>
      <c r="I135" s="40"/>
    </row>
    <row r="136" spans="1:9" x14ac:dyDescent="0.35">
      <c r="A136" s="81" t="s">
        <v>62</v>
      </c>
      <c r="B136" s="115">
        <v>4000</v>
      </c>
      <c r="C136" s="116">
        <v>4000</v>
      </c>
      <c r="D136" s="116">
        <v>4000</v>
      </c>
      <c r="E136" s="116">
        <v>4000</v>
      </c>
      <c r="F136" s="116">
        <v>4000</v>
      </c>
      <c r="G136" s="116">
        <v>4000</v>
      </c>
      <c r="H136" s="115">
        <v>4000</v>
      </c>
      <c r="I136" s="40"/>
    </row>
    <row r="137" spans="1:9" x14ac:dyDescent="0.35">
      <c r="A137" s="81" t="s">
        <v>173</v>
      </c>
      <c r="B137" s="115">
        <f>B77*0.0125</f>
        <v>0</v>
      </c>
      <c r="C137" s="116">
        <f>C77*0.0125</f>
        <v>51927</v>
      </c>
      <c r="D137" s="116">
        <f t="shared" ref="D137:H137" si="62">D77*0.0125</f>
        <v>72904.596999999994</v>
      </c>
      <c r="E137" s="116">
        <f t="shared" si="62"/>
        <v>94418.835858999999</v>
      </c>
      <c r="F137" s="116">
        <f t="shared" si="62"/>
        <v>120268.09556530899</v>
      </c>
      <c r="G137" s="116">
        <f t="shared" si="62"/>
        <v>141497.30841834293</v>
      </c>
      <c r="H137" s="115">
        <f t="shared" si="62"/>
        <v>160342.83129209443</v>
      </c>
      <c r="I137" s="40"/>
    </row>
    <row r="138" spans="1:9" x14ac:dyDescent="0.35">
      <c r="A138" s="81" t="s">
        <v>55</v>
      </c>
      <c r="B138" s="115">
        <f t="shared" ref="B138:H138" si="63">B77*0.005</f>
        <v>0</v>
      </c>
      <c r="C138" s="116">
        <f t="shared" si="63"/>
        <v>20770.8</v>
      </c>
      <c r="D138" s="116">
        <f t="shared" si="63"/>
        <v>29161.838799999998</v>
      </c>
      <c r="E138" s="116">
        <f t="shared" si="63"/>
        <v>37767.534343599997</v>
      </c>
      <c r="F138" s="116">
        <f t="shared" si="63"/>
        <v>48107.238226123591</v>
      </c>
      <c r="G138" s="116">
        <f t="shared" si="63"/>
        <v>56598.923367337178</v>
      </c>
      <c r="H138" s="115">
        <f t="shared" si="63"/>
        <v>64137.132516837773</v>
      </c>
      <c r="I138" s="40"/>
    </row>
    <row r="139" spans="1:9" x14ac:dyDescent="0.35">
      <c r="A139" s="81" t="s">
        <v>56</v>
      </c>
      <c r="B139" s="115">
        <f t="shared" ref="B139:H139" si="64">B77*0.005</f>
        <v>0</v>
      </c>
      <c r="C139" s="116">
        <f t="shared" si="64"/>
        <v>20770.8</v>
      </c>
      <c r="D139" s="116">
        <f t="shared" si="64"/>
        <v>29161.838799999998</v>
      </c>
      <c r="E139" s="116">
        <f t="shared" si="64"/>
        <v>37767.534343599997</v>
      </c>
      <c r="F139" s="116">
        <f t="shared" si="64"/>
        <v>48107.238226123591</v>
      </c>
      <c r="G139" s="116">
        <f t="shared" si="64"/>
        <v>56598.923367337178</v>
      </c>
      <c r="H139" s="115">
        <f t="shared" si="64"/>
        <v>64137.132516837773</v>
      </c>
      <c r="I139" s="40"/>
    </row>
    <row r="140" spans="1:9" x14ac:dyDescent="0.35">
      <c r="A140" s="81" t="s">
        <v>174</v>
      </c>
      <c r="B140" s="115">
        <v>0</v>
      </c>
      <c r="C140" s="116">
        <v>25000</v>
      </c>
      <c r="D140" s="116">
        <f>C140+2500</f>
        <v>27500</v>
      </c>
      <c r="E140" s="116">
        <f>D140+2500</f>
        <v>30000</v>
      </c>
      <c r="F140" s="116">
        <f t="shared" ref="F140:H140" si="65">E140*1.05</f>
        <v>31500</v>
      </c>
      <c r="G140" s="116">
        <f t="shared" si="65"/>
        <v>33075</v>
      </c>
      <c r="H140" s="115">
        <f t="shared" si="65"/>
        <v>34728.75</v>
      </c>
      <c r="I140" s="40"/>
    </row>
    <row r="141" spans="1:9" x14ac:dyDescent="0.35">
      <c r="A141" s="81" t="s">
        <v>59</v>
      </c>
      <c r="B141" s="115">
        <v>2100</v>
      </c>
      <c r="C141" s="116">
        <v>1250</v>
      </c>
      <c r="D141" s="116">
        <v>1250</v>
      </c>
      <c r="E141" s="116">
        <v>1250</v>
      </c>
      <c r="F141" s="116">
        <v>1250</v>
      </c>
      <c r="G141" s="116">
        <v>1250</v>
      </c>
      <c r="H141" s="115">
        <v>1250</v>
      </c>
      <c r="I141" s="40"/>
    </row>
    <row r="142" spans="1:9" x14ac:dyDescent="0.35">
      <c r="A142" s="81" t="s">
        <v>66</v>
      </c>
      <c r="B142" s="115">
        <f>70*B62</f>
        <v>0</v>
      </c>
      <c r="C142" s="116">
        <f>70*C62</f>
        <v>2520</v>
      </c>
      <c r="D142" s="116">
        <f>IF((70*(D62-C62))&gt;1000,(70*(D62-C62)),1000)</f>
        <v>1365</v>
      </c>
      <c r="E142" s="116">
        <f t="shared" ref="E142:H142" si="66">IF((70*(E62-D62))&gt;1000,(70*(E62-D62)),1000)</f>
        <v>1000</v>
      </c>
      <c r="F142" s="116">
        <f t="shared" si="66"/>
        <v>1400</v>
      </c>
      <c r="G142" s="116">
        <f t="shared" si="66"/>
        <v>1365</v>
      </c>
      <c r="H142" s="115">
        <f t="shared" si="66"/>
        <v>1000</v>
      </c>
      <c r="I142" s="40"/>
    </row>
    <row r="143" spans="1:9" x14ac:dyDescent="0.35">
      <c r="A143" s="81" t="s">
        <v>175</v>
      </c>
      <c r="B143" s="115">
        <v>0</v>
      </c>
      <c r="C143" s="140">
        <v>40000</v>
      </c>
      <c r="D143" s="116">
        <f t="shared" ref="D143:H143" si="67">C143*1.05</f>
        <v>42000</v>
      </c>
      <c r="E143" s="116">
        <f t="shared" si="67"/>
        <v>44100</v>
      </c>
      <c r="F143" s="116">
        <f t="shared" si="67"/>
        <v>46305</v>
      </c>
      <c r="G143" s="116">
        <f t="shared" si="67"/>
        <v>48620.25</v>
      </c>
      <c r="H143" s="115">
        <f t="shared" si="67"/>
        <v>51051.262500000004</v>
      </c>
      <c r="I143" s="40"/>
    </row>
    <row r="144" spans="1:9" x14ac:dyDescent="0.35">
      <c r="A144" s="81" t="s">
        <v>176</v>
      </c>
      <c r="B144" s="115">
        <v>26250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5">
        <v>0</v>
      </c>
      <c r="I144" s="40"/>
    </row>
    <row r="145" spans="1:9" x14ac:dyDescent="0.35">
      <c r="A145" s="81" t="s">
        <v>97</v>
      </c>
      <c r="B145" s="115">
        <v>0</v>
      </c>
      <c r="C145" s="116">
        <f>12500</f>
        <v>12500</v>
      </c>
      <c r="D145" s="116">
        <v>20000</v>
      </c>
      <c r="E145" s="116">
        <v>20000</v>
      </c>
      <c r="F145" s="116">
        <v>0</v>
      </c>
      <c r="G145" s="116">
        <v>0</v>
      </c>
      <c r="H145" s="115">
        <v>0</v>
      </c>
      <c r="I145" s="40"/>
    </row>
    <row r="146" spans="1:9" x14ac:dyDescent="0.35">
      <c r="A146" s="81" t="s">
        <v>68</v>
      </c>
      <c r="B146" s="115">
        <v>1850</v>
      </c>
      <c r="C146" s="116">
        <v>1000</v>
      </c>
      <c r="D146" s="116">
        <v>1000</v>
      </c>
      <c r="E146" s="116">
        <v>2000</v>
      </c>
      <c r="F146" s="116">
        <v>2000</v>
      </c>
      <c r="G146" s="116">
        <v>2000</v>
      </c>
      <c r="H146" s="115">
        <v>2000</v>
      </c>
      <c r="I146" s="40"/>
    </row>
    <row r="147" spans="1:9" x14ac:dyDescent="0.35">
      <c r="A147" s="137" t="s">
        <v>177</v>
      </c>
      <c r="B147" s="50">
        <f t="shared" ref="B147:C147" si="68">SUM(B115:B146)</f>
        <v>52500</v>
      </c>
      <c r="C147" s="51">
        <f t="shared" si="68"/>
        <v>1055491.6000000001</v>
      </c>
      <c r="D147" s="51">
        <f>SUM(D115:D146)</f>
        <v>1543844.2746000001</v>
      </c>
      <c r="E147" s="51">
        <f t="shared" ref="E147:H147" si="69">SUM(E115:E146)</f>
        <v>1962771.5045462002</v>
      </c>
      <c r="F147" s="51">
        <f t="shared" si="69"/>
        <v>2415722.7300175559</v>
      </c>
      <c r="G147" s="50">
        <f t="shared" si="69"/>
        <v>2726557.7528930176</v>
      </c>
      <c r="H147" s="50">
        <f t="shared" si="69"/>
        <v>2974193.40824797</v>
      </c>
      <c r="I147" s="40"/>
    </row>
    <row r="148" spans="1:9" x14ac:dyDescent="0.35">
      <c r="A148" s="141" t="s">
        <v>69</v>
      </c>
      <c r="B148" s="142" t="str">
        <f t="shared" ref="B148:H148" si="70">B1</f>
        <v>20-21 (Pre-Op)</v>
      </c>
      <c r="C148" s="143" t="str">
        <f t="shared" si="70"/>
        <v>21-22</v>
      </c>
      <c r="D148" s="143" t="str">
        <f t="shared" si="70"/>
        <v>22-23</v>
      </c>
      <c r="E148" s="143" t="str">
        <f t="shared" si="70"/>
        <v>23-24</v>
      </c>
      <c r="F148" s="143" t="str">
        <f t="shared" si="70"/>
        <v>24-25</v>
      </c>
      <c r="G148" s="143" t="str">
        <f t="shared" si="70"/>
        <v>25-26</v>
      </c>
      <c r="H148" s="142" t="str">
        <f t="shared" si="70"/>
        <v>26-27</v>
      </c>
      <c r="I148" s="40"/>
    </row>
    <row r="149" spans="1:9" x14ac:dyDescent="0.35">
      <c r="A149" s="81" t="s">
        <v>70</v>
      </c>
      <c r="B149" s="115">
        <v>0</v>
      </c>
      <c r="C149" s="116">
        <f>(1.75*65000)*0.8</f>
        <v>91000</v>
      </c>
      <c r="D149" s="116">
        <f>(1.75*65000)*0.9</f>
        <v>102375</v>
      </c>
      <c r="E149" s="116">
        <f>(2*65000)</f>
        <v>130000</v>
      </c>
      <c r="F149" s="116">
        <f>(2*90000)</f>
        <v>180000</v>
      </c>
      <c r="G149" s="116">
        <f>(2.25*90000)</f>
        <v>202500</v>
      </c>
      <c r="H149" s="115">
        <f>(2.5*90000)</f>
        <v>225000</v>
      </c>
      <c r="I149" s="40"/>
    </row>
    <row r="150" spans="1:9" x14ac:dyDescent="0.35">
      <c r="A150" s="81" t="s">
        <v>71</v>
      </c>
      <c r="B150" s="115">
        <v>0</v>
      </c>
      <c r="C150" s="116">
        <v>8000</v>
      </c>
      <c r="D150" s="116">
        <f>C150*1.03</f>
        <v>8240</v>
      </c>
      <c r="E150" s="116">
        <f t="shared" ref="E150" si="71">D150*1.03</f>
        <v>8487.2000000000007</v>
      </c>
      <c r="F150" s="116">
        <f>E150*1.03+8000</f>
        <v>16741.815999999999</v>
      </c>
      <c r="G150" s="116">
        <f t="shared" ref="G150:H150" si="72">F150*1.03</f>
        <v>17244.070479999998</v>
      </c>
      <c r="H150" s="115">
        <f t="shared" si="72"/>
        <v>17761.3925944</v>
      </c>
      <c r="I150" s="40"/>
    </row>
    <row r="151" spans="1:9" x14ac:dyDescent="0.35">
      <c r="A151" s="81" t="s">
        <v>178</v>
      </c>
      <c r="B151" s="115">
        <v>0</v>
      </c>
      <c r="C151" s="116">
        <f>(0.11*65000*12)*0.8</f>
        <v>68640</v>
      </c>
      <c r="D151" s="116">
        <f>(0.11*65000*12)*0.9</f>
        <v>77220</v>
      </c>
      <c r="E151" s="116">
        <f>(0.11*65000*12)</f>
        <v>85800</v>
      </c>
      <c r="F151" s="116">
        <f>(0.11*95000*12)</f>
        <v>125400</v>
      </c>
      <c r="G151" s="116">
        <f>F151*1.03</f>
        <v>129162</v>
      </c>
      <c r="H151" s="115">
        <f>G151*1.03</f>
        <v>133036.86000000002</v>
      </c>
      <c r="I151" s="40"/>
    </row>
    <row r="152" spans="1:9" x14ac:dyDescent="0.35">
      <c r="A152" s="81" t="s">
        <v>73</v>
      </c>
      <c r="B152" s="115">
        <v>0</v>
      </c>
      <c r="C152" s="116">
        <f t="shared" ref="C152:H152" si="73">C17*15</f>
        <v>8550</v>
      </c>
      <c r="D152" s="116">
        <f t="shared" si="73"/>
        <v>11850</v>
      </c>
      <c r="E152" s="116">
        <f t="shared" si="73"/>
        <v>15150</v>
      </c>
      <c r="F152" s="116">
        <f t="shared" si="73"/>
        <v>19050</v>
      </c>
      <c r="G152" s="116">
        <f t="shared" si="73"/>
        <v>22125</v>
      </c>
      <c r="H152" s="115">
        <f t="shared" si="73"/>
        <v>24750</v>
      </c>
      <c r="I152" s="40"/>
    </row>
    <row r="153" spans="1:9" x14ac:dyDescent="0.35">
      <c r="A153" s="81" t="s">
        <v>179</v>
      </c>
      <c r="B153" s="115">
        <v>0</v>
      </c>
      <c r="C153" s="116">
        <v>20000</v>
      </c>
      <c r="D153" s="116">
        <f>C153*1.05</f>
        <v>21000</v>
      </c>
      <c r="E153" s="116">
        <f t="shared" ref="E153:H153" si="74">D153*1.05</f>
        <v>22050</v>
      </c>
      <c r="F153" s="116">
        <f t="shared" si="74"/>
        <v>23152.5</v>
      </c>
      <c r="G153" s="116">
        <f t="shared" si="74"/>
        <v>24310.125</v>
      </c>
      <c r="H153" s="115">
        <f t="shared" si="74"/>
        <v>25525.631250000002</v>
      </c>
      <c r="I153" s="40"/>
    </row>
    <row r="154" spans="1:9" x14ac:dyDescent="0.35">
      <c r="A154" s="81" t="s">
        <v>76</v>
      </c>
      <c r="B154" s="115">
        <v>0</v>
      </c>
      <c r="C154" s="116">
        <f>1000*12</f>
        <v>12000</v>
      </c>
      <c r="D154" s="116">
        <f t="shared" ref="D154:H154" si="75">C154*1.03</f>
        <v>12360</v>
      </c>
      <c r="E154" s="116">
        <f t="shared" si="75"/>
        <v>12730.800000000001</v>
      </c>
      <c r="F154" s="116">
        <f t="shared" si="75"/>
        <v>13112.724000000002</v>
      </c>
      <c r="G154" s="116">
        <f t="shared" si="75"/>
        <v>13506.105720000003</v>
      </c>
      <c r="H154" s="115">
        <f t="shared" si="75"/>
        <v>13911.288891600003</v>
      </c>
      <c r="I154" s="40"/>
    </row>
    <row r="155" spans="1:9" x14ac:dyDescent="0.35">
      <c r="A155" s="81" t="s">
        <v>77</v>
      </c>
      <c r="B155" s="115">
        <v>0</v>
      </c>
      <c r="C155" s="116">
        <v>10000</v>
      </c>
      <c r="D155" s="116">
        <f>C155*1.05</f>
        <v>10500</v>
      </c>
      <c r="E155" s="116">
        <f t="shared" ref="E155:F155" si="76">D155*1.05</f>
        <v>11025</v>
      </c>
      <c r="F155" s="116">
        <f t="shared" si="76"/>
        <v>11576.25</v>
      </c>
      <c r="G155" s="116">
        <f>F155*1.05</f>
        <v>12155.0625</v>
      </c>
      <c r="H155" s="115">
        <f>G155*1.05</f>
        <v>12762.815625000001</v>
      </c>
      <c r="I155" s="40"/>
    </row>
    <row r="156" spans="1:9" x14ac:dyDescent="0.35">
      <c r="A156" s="137" t="s">
        <v>177</v>
      </c>
      <c r="B156" s="50">
        <f t="shared" ref="B156" si="77">SUM(B149:B155)</f>
        <v>0</v>
      </c>
      <c r="C156" s="51">
        <f t="shared" ref="C156:H156" si="78">SUM(C149:C155)</f>
        <v>218190</v>
      </c>
      <c r="D156" s="50">
        <f t="shared" si="78"/>
        <v>243545</v>
      </c>
      <c r="E156" s="50">
        <f t="shared" si="78"/>
        <v>285243</v>
      </c>
      <c r="F156" s="50">
        <f t="shared" si="78"/>
        <v>389033.29</v>
      </c>
      <c r="G156" s="50">
        <f t="shared" si="78"/>
        <v>421002.36369999999</v>
      </c>
      <c r="H156" s="50">
        <f t="shared" si="78"/>
        <v>452747.98836099997</v>
      </c>
      <c r="I156" s="40"/>
    </row>
    <row r="157" spans="1:9" ht="15" thickBot="1" x14ac:dyDescent="0.4">
      <c r="A157" s="144"/>
      <c r="B157" s="145"/>
      <c r="C157" s="146"/>
      <c r="D157" s="146"/>
      <c r="E157" s="146"/>
      <c r="F157" s="146"/>
      <c r="G157" s="146"/>
      <c r="H157" s="145"/>
      <c r="I157" s="40"/>
    </row>
    <row r="158" spans="1:9" ht="15" thickBot="1" x14ac:dyDescent="0.4">
      <c r="A158" s="147" t="s">
        <v>180</v>
      </c>
      <c r="B158" s="148">
        <f t="shared" ref="B158:H158" si="79">B156+B147+B113</f>
        <v>52500</v>
      </c>
      <c r="C158" s="149">
        <f t="shared" si="79"/>
        <v>3589185.6</v>
      </c>
      <c r="D158" s="149">
        <f t="shared" si="79"/>
        <v>5282885.3746000007</v>
      </c>
      <c r="E158" s="149">
        <f t="shared" si="79"/>
        <v>6566567.7685462004</v>
      </c>
      <c r="F158" s="149">
        <f t="shared" si="79"/>
        <v>8514620.7333975546</v>
      </c>
      <c r="G158" s="149">
        <f t="shared" si="79"/>
        <v>10035337.942510018</v>
      </c>
      <c r="H158" s="148">
        <f t="shared" si="79"/>
        <v>11242929.127214819</v>
      </c>
      <c r="I158" s="40"/>
    </row>
    <row r="159" spans="1:9" ht="15" thickBot="1" x14ac:dyDescent="0.4">
      <c r="A159" s="150"/>
      <c r="B159" s="145"/>
      <c r="C159" s="146"/>
      <c r="D159" s="146"/>
      <c r="E159" s="146"/>
      <c r="F159" s="146"/>
      <c r="G159" s="146"/>
      <c r="H159" s="145"/>
      <c r="I159" s="40"/>
    </row>
    <row r="160" spans="1:9" x14ac:dyDescent="0.35">
      <c r="A160" s="151"/>
      <c r="B160" s="110"/>
      <c r="C160" s="111"/>
      <c r="D160" s="111"/>
      <c r="E160" s="111"/>
      <c r="F160" s="111"/>
      <c r="G160" s="111"/>
      <c r="H160" s="110"/>
      <c r="I160" s="40"/>
    </row>
    <row r="161" spans="1:11" x14ac:dyDescent="0.35">
      <c r="A161" s="152" t="s">
        <v>92</v>
      </c>
      <c r="B161" s="115">
        <v>0</v>
      </c>
      <c r="C161" s="116">
        <v>820000</v>
      </c>
      <c r="D161" s="116">
        <v>1100000</v>
      </c>
      <c r="E161" s="116">
        <v>1680000</v>
      </c>
      <c r="F161" s="116">
        <v>2000000</v>
      </c>
      <c r="G161" s="116">
        <v>2270000</v>
      </c>
      <c r="H161" s="115">
        <v>2625000</v>
      </c>
      <c r="I161" s="40"/>
      <c r="K161" s="117"/>
    </row>
    <row r="162" spans="1:11" x14ac:dyDescent="0.35">
      <c r="A162" s="152" t="s">
        <v>181</v>
      </c>
      <c r="B162" s="115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5">
        <v>0</v>
      </c>
      <c r="I162" s="40"/>
    </row>
    <row r="163" spans="1:11" x14ac:dyDescent="0.35">
      <c r="A163" s="152" t="s">
        <v>182</v>
      </c>
      <c r="B163" s="115"/>
      <c r="C163" s="116"/>
      <c r="D163" s="116"/>
      <c r="E163" s="116"/>
      <c r="F163" s="116"/>
      <c r="G163" s="116"/>
      <c r="H163" s="115"/>
      <c r="I163" s="40"/>
    </row>
    <row r="164" spans="1:11" ht="15" thickBot="1" x14ac:dyDescent="0.4">
      <c r="A164" s="153"/>
      <c r="B164" s="145"/>
      <c r="C164" s="146"/>
      <c r="D164" s="146"/>
      <c r="E164" s="146"/>
      <c r="F164" s="146"/>
      <c r="G164" s="146"/>
      <c r="H164" s="145"/>
      <c r="I164" s="40"/>
    </row>
    <row r="165" spans="1:11" x14ac:dyDescent="0.35">
      <c r="A165" s="151"/>
      <c r="B165" s="110"/>
      <c r="C165" s="111"/>
      <c r="D165" s="111"/>
      <c r="E165" s="111"/>
      <c r="F165" s="111"/>
      <c r="G165" s="111"/>
      <c r="H165" s="110"/>
      <c r="I165" s="40"/>
    </row>
    <row r="166" spans="1:11" x14ac:dyDescent="0.35">
      <c r="A166" s="154" t="s">
        <v>79</v>
      </c>
      <c r="B166" s="38">
        <f>B76-B158-B161-B162-B163</f>
        <v>0</v>
      </c>
      <c r="C166" s="39">
        <f t="shared" ref="C166:H166" si="80">C76-C158-C161-C162-C163</f>
        <v>3571.9999999995343</v>
      </c>
      <c r="D166" s="39">
        <f t="shared" si="80"/>
        <v>68568.868999999017</v>
      </c>
      <c r="E166" s="39">
        <f t="shared" si="80"/>
        <v>129360.49714299943</v>
      </c>
      <c r="F166" s="39">
        <f t="shared" si="80"/>
        <v>147901.19714879245</v>
      </c>
      <c r="G166" s="39">
        <f t="shared" si="80"/>
        <v>272646.96085540578</v>
      </c>
      <c r="H166" s="38">
        <f t="shared" si="80"/>
        <v>393220.97860222124</v>
      </c>
      <c r="I166" s="40"/>
    </row>
    <row r="167" spans="1:11" ht="15" thickBot="1" x14ac:dyDescent="0.4">
      <c r="A167" s="153"/>
      <c r="B167" s="145"/>
      <c r="C167" s="146"/>
      <c r="D167" s="146"/>
      <c r="E167" s="146"/>
      <c r="F167" s="146"/>
      <c r="G167" s="146"/>
      <c r="H167" s="145"/>
      <c r="I167" s="40"/>
    </row>
    <row r="168" spans="1:11" x14ac:dyDescent="0.35">
      <c r="B168" s="155">
        <f t="shared" ref="B168:H168" si="81">B166/B76</f>
        <v>0</v>
      </c>
      <c r="C168" s="155">
        <f t="shared" si="81"/>
        <v>8.0947115699251976E-4</v>
      </c>
      <c r="D168" s="155">
        <f t="shared" si="81"/>
        <v>1.0628436072071814E-2</v>
      </c>
      <c r="E168" s="155">
        <f t="shared" si="81"/>
        <v>1.5444317697049332E-2</v>
      </c>
      <c r="F168" s="155">
        <f t="shared" si="81"/>
        <v>1.3871127122850756E-2</v>
      </c>
      <c r="G168" s="155">
        <f t="shared" si="81"/>
        <v>2.1676521553341592E-2</v>
      </c>
      <c r="H168" s="155">
        <f t="shared" si="81"/>
        <v>2.757287986484545E-2</v>
      </c>
      <c r="I168" s="40"/>
    </row>
    <row r="169" spans="1:11" x14ac:dyDescent="0.35">
      <c r="A169" s="156" t="str">
        <f t="shared" ref="A169:H169" si="82">A1</f>
        <v>CIVICA NV</v>
      </c>
      <c r="B169" s="156" t="str">
        <f t="shared" si="82"/>
        <v>20-21 (Pre-Op)</v>
      </c>
      <c r="C169" s="156" t="str">
        <f t="shared" si="82"/>
        <v>21-22</v>
      </c>
      <c r="D169" s="156" t="str">
        <f t="shared" si="82"/>
        <v>22-23</v>
      </c>
      <c r="E169" s="156" t="str">
        <f t="shared" si="82"/>
        <v>23-24</v>
      </c>
      <c r="F169" s="156" t="str">
        <f t="shared" si="82"/>
        <v>24-25</v>
      </c>
      <c r="G169" s="156" t="str">
        <f t="shared" si="82"/>
        <v>25-26</v>
      </c>
      <c r="H169" s="156" t="str">
        <f t="shared" si="82"/>
        <v>26-27</v>
      </c>
      <c r="I169" s="40"/>
    </row>
    <row r="172" spans="1:11" x14ac:dyDescent="0.35">
      <c r="A172" s="157" t="s">
        <v>183</v>
      </c>
      <c r="B172" s="158">
        <f t="shared" ref="B172:H172" si="83">B76-B158</f>
        <v>0</v>
      </c>
      <c r="C172" s="158">
        <f t="shared" si="83"/>
        <v>823571.99999999953</v>
      </c>
      <c r="D172" s="158">
        <f t="shared" si="83"/>
        <v>1168568.868999999</v>
      </c>
      <c r="E172" s="158">
        <f t="shared" si="83"/>
        <v>1809360.4971429994</v>
      </c>
      <c r="F172" s="158">
        <f t="shared" si="83"/>
        <v>2147901.1971487924</v>
      </c>
      <c r="G172" s="158">
        <f t="shared" si="83"/>
        <v>2542646.9608554058</v>
      </c>
      <c r="H172" s="158">
        <f t="shared" si="83"/>
        <v>3018220.9786022212</v>
      </c>
      <c r="I172" s="159"/>
    </row>
    <row r="174" spans="1:11" x14ac:dyDescent="0.35">
      <c r="A174" s="10" t="s">
        <v>184</v>
      </c>
      <c r="B174" s="160">
        <f>B162</f>
        <v>0</v>
      </c>
      <c r="C174" s="160">
        <f>C162</f>
        <v>0</v>
      </c>
      <c r="D174" s="160">
        <f t="shared" ref="D174:H174" si="84">D162</f>
        <v>0</v>
      </c>
      <c r="E174" s="160">
        <f t="shared" si="84"/>
        <v>0</v>
      </c>
      <c r="F174" s="160">
        <f t="shared" si="84"/>
        <v>0</v>
      </c>
      <c r="G174" s="160">
        <f t="shared" si="84"/>
        <v>0</v>
      </c>
      <c r="H174" s="160">
        <f t="shared" si="84"/>
        <v>0</v>
      </c>
    </row>
    <row r="175" spans="1:11" x14ac:dyDescent="0.35">
      <c r="A175" s="10" t="s">
        <v>185</v>
      </c>
      <c r="B175" s="160">
        <v>0</v>
      </c>
      <c r="C175" s="160">
        <v>0</v>
      </c>
      <c r="D175" s="160"/>
      <c r="E175" s="160"/>
      <c r="F175" s="160"/>
      <c r="G175" s="160"/>
      <c r="H175" s="160"/>
    </row>
    <row r="176" spans="1:11" x14ac:dyDescent="0.35">
      <c r="A176" s="161" t="s">
        <v>186</v>
      </c>
      <c r="B176" s="160">
        <f>B161</f>
        <v>0</v>
      </c>
      <c r="C176" s="160">
        <f>C161</f>
        <v>820000</v>
      </c>
      <c r="D176" s="160">
        <f t="shared" ref="D176:H176" si="85">D161</f>
        <v>1100000</v>
      </c>
      <c r="E176" s="160">
        <f t="shared" si="85"/>
        <v>1680000</v>
      </c>
      <c r="F176" s="160">
        <f t="shared" si="85"/>
        <v>2000000</v>
      </c>
      <c r="G176" s="160">
        <f t="shared" si="85"/>
        <v>2270000</v>
      </c>
      <c r="H176" s="160">
        <f t="shared" si="85"/>
        <v>2625000</v>
      </c>
    </row>
    <row r="177" spans="1:10" x14ac:dyDescent="0.35">
      <c r="A177" s="162" t="s">
        <v>187</v>
      </c>
      <c r="B177" s="163">
        <f t="shared" ref="B177" si="86">SUM(B174:B176)</f>
        <v>0</v>
      </c>
      <c r="C177" s="163">
        <f t="shared" ref="C177:H177" si="87">SUM(C174:C176)</f>
        <v>820000</v>
      </c>
      <c r="D177" s="163">
        <f t="shared" si="87"/>
        <v>1100000</v>
      </c>
      <c r="E177" s="163">
        <f t="shared" si="87"/>
        <v>1680000</v>
      </c>
      <c r="F177" s="163">
        <f t="shared" si="87"/>
        <v>2000000</v>
      </c>
      <c r="G177" s="163">
        <f t="shared" si="87"/>
        <v>2270000</v>
      </c>
      <c r="H177" s="163">
        <f t="shared" si="87"/>
        <v>2625000</v>
      </c>
    </row>
    <row r="179" spans="1:10" x14ac:dyDescent="0.35">
      <c r="A179" s="157" t="s">
        <v>188</v>
      </c>
      <c r="B179" s="164" t="e">
        <f t="shared" ref="B179:H179" si="88">B172/B177</f>
        <v>#DIV/0!</v>
      </c>
      <c r="C179" s="164">
        <f t="shared" si="88"/>
        <v>1.0043560975609751</v>
      </c>
      <c r="D179" s="164">
        <f t="shared" si="88"/>
        <v>1.0623353354545446</v>
      </c>
      <c r="E179" s="164">
        <f t="shared" si="88"/>
        <v>1.0770002959184521</v>
      </c>
      <c r="F179" s="164">
        <f t="shared" si="88"/>
        <v>1.0739505985743962</v>
      </c>
      <c r="G179" s="164">
        <f t="shared" si="88"/>
        <v>1.1201087933283727</v>
      </c>
      <c r="H179" s="164">
        <f t="shared" si="88"/>
        <v>1.1497984680389415</v>
      </c>
    </row>
    <row r="181" spans="1:10" x14ac:dyDescent="0.35">
      <c r="A181" s="165" t="s">
        <v>189</v>
      </c>
      <c r="B181" s="165"/>
      <c r="C181" s="165"/>
      <c r="D181" s="165"/>
      <c r="E181" s="165"/>
      <c r="F181" s="165"/>
      <c r="G181" s="165"/>
      <c r="H181" s="165"/>
    </row>
    <row r="182" spans="1:10" x14ac:dyDescent="0.35">
      <c r="A182" s="10" t="s">
        <v>190</v>
      </c>
      <c r="B182" s="166">
        <v>0</v>
      </c>
      <c r="C182" s="166">
        <v>0</v>
      </c>
      <c r="D182" s="167">
        <v>0</v>
      </c>
      <c r="E182" s="167">
        <f>D185</f>
        <v>68568.868999999017</v>
      </c>
      <c r="F182" s="167">
        <f>E185</f>
        <v>197929.36614299845</v>
      </c>
      <c r="G182" s="167">
        <f>F185</f>
        <v>345830.5632917909</v>
      </c>
      <c r="H182" s="167">
        <f>G185</f>
        <v>618477.52414719667</v>
      </c>
    </row>
    <row r="183" spans="1:10" x14ac:dyDescent="0.35">
      <c r="A183" s="168" t="s">
        <v>191</v>
      </c>
      <c r="B183" s="167">
        <v>0</v>
      </c>
      <c r="C183" s="167">
        <v>0</v>
      </c>
      <c r="D183" s="169">
        <v>0</v>
      </c>
      <c r="E183" s="169">
        <v>0</v>
      </c>
      <c r="F183" s="169">
        <v>0</v>
      </c>
      <c r="G183" s="169">
        <v>0</v>
      </c>
      <c r="H183" s="169">
        <v>0</v>
      </c>
    </row>
    <row r="184" spans="1:10" x14ac:dyDescent="0.35">
      <c r="A184" s="168" t="s">
        <v>192</v>
      </c>
      <c r="B184" s="167">
        <f t="shared" ref="B184:H184" si="89">B166</f>
        <v>0</v>
      </c>
      <c r="C184" s="167">
        <f t="shared" si="89"/>
        <v>3571.9999999995343</v>
      </c>
      <c r="D184" s="167">
        <f t="shared" si="89"/>
        <v>68568.868999999017</v>
      </c>
      <c r="E184" s="167">
        <f t="shared" si="89"/>
        <v>129360.49714299943</v>
      </c>
      <c r="F184" s="167">
        <f t="shared" si="89"/>
        <v>147901.19714879245</v>
      </c>
      <c r="G184" s="167">
        <f t="shared" si="89"/>
        <v>272646.96085540578</v>
      </c>
      <c r="H184" s="167">
        <f t="shared" si="89"/>
        <v>393220.97860222124</v>
      </c>
    </row>
    <row r="185" spans="1:10" x14ac:dyDescent="0.35">
      <c r="A185" s="170" t="s">
        <v>193</v>
      </c>
      <c r="B185" s="171">
        <f>B182+B183+B184</f>
        <v>0</v>
      </c>
      <c r="C185" s="171">
        <f>C182+C183+C184</f>
        <v>3571.9999999995343</v>
      </c>
      <c r="D185" s="171">
        <f t="shared" ref="D185:G185" si="90">D182+D183+D184</f>
        <v>68568.868999999017</v>
      </c>
      <c r="E185" s="171">
        <f t="shared" si="90"/>
        <v>197929.36614299845</v>
      </c>
      <c r="F185" s="171">
        <f t="shared" si="90"/>
        <v>345830.5632917909</v>
      </c>
      <c r="G185" s="171">
        <f t="shared" si="90"/>
        <v>618477.52414719667</v>
      </c>
      <c r="H185" s="171">
        <f>H182+H183+H184</f>
        <v>1011698.5027494179</v>
      </c>
    </row>
    <row r="186" spans="1:10" x14ac:dyDescent="0.35">
      <c r="A186" s="157" t="s">
        <v>194</v>
      </c>
      <c r="B186" s="164">
        <f>B185/((B158+B161+B162+B163)/365)</f>
        <v>0</v>
      </c>
      <c r="C186" s="164">
        <f>C185/((C158+C161+C162+C163)/365)</f>
        <v>0.29569632995259493</v>
      </c>
      <c r="D186" s="164">
        <f t="shared" ref="D186:G186" si="91">D185/((D158+D161+D162+D163)/365)</f>
        <v>3.9210538363409135</v>
      </c>
      <c r="E186" s="164">
        <f t="shared" si="91"/>
        <v>8.7605196088663781</v>
      </c>
      <c r="F186" s="164">
        <f t="shared" si="91"/>
        <v>12.005012715348411</v>
      </c>
      <c r="G186" s="164">
        <f t="shared" si="91"/>
        <v>18.345233375011226</v>
      </c>
      <c r="H186" s="164">
        <f>H185/((H158+H161+H162+H163)/365)</f>
        <v>26.627620469942528</v>
      </c>
    </row>
    <row r="189" spans="1:10" x14ac:dyDescent="0.35">
      <c r="A189" s="27" t="s">
        <v>195</v>
      </c>
      <c r="B189" s="172">
        <f t="shared" ref="B189" si="92">B107/SUM(B158:B163)</f>
        <v>0</v>
      </c>
      <c r="C189" s="172">
        <f t="shared" ref="C189:H189" si="93">C107/SUM(C158:C163)</f>
        <v>0.35054092529014885</v>
      </c>
      <c r="D189" s="172">
        <f t="shared" si="93"/>
        <v>0.36568414800121229</v>
      </c>
      <c r="E189" s="172">
        <f t="shared" si="93"/>
        <v>0.34923028353500224</v>
      </c>
      <c r="F189" s="172">
        <f t="shared" si="93"/>
        <v>0.36185782297547198</v>
      </c>
      <c r="G189" s="172">
        <f t="shared" si="93"/>
        <v>0.37257237923405107</v>
      </c>
      <c r="H189" s="172">
        <f t="shared" si="93"/>
        <v>0.37477004478184855</v>
      </c>
      <c r="J189" s="173">
        <f t="shared" ref="J189:J201" si="94">AVERAGE(C189:H189)</f>
        <v>0.36244260063628925</v>
      </c>
    </row>
    <row r="190" spans="1:10" x14ac:dyDescent="0.35">
      <c r="A190" s="27" t="s">
        <v>196</v>
      </c>
      <c r="B190" s="172">
        <f t="shared" ref="B190" si="95">SUM(B108:B110)/SUM(B158:B163)</f>
        <v>0</v>
      </c>
      <c r="C190" s="172">
        <f t="shared" ref="C190:H190" si="96">SUM(C108:C110)/SUM(C158:C163)</f>
        <v>0.1630015302599192</v>
      </c>
      <c r="D190" s="172">
        <f t="shared" si="96"/>
        <v>0.17095733919056677</v>
      </c>
      <c r="E190" s="172">
        <f t="shared" si="96"/>
        <v>0.16413823326145105</v>
      </c>
      <c r="F190" s="172">
        <f t="shared" si="96"/>
        <v>0.1709778213559105</v>
      </c>
      <c r="G190" s="172">
        <f t="shared" si="96"/>
        <v>0.17697188013617426</v>
      </c>
      <c r="H190" s="172">
        <f t="shared" si="96"/>
        <v>0.17895269638333267</v>
      </c>
      <c r="J190" s="173">
        <f t="shared" si="94"/>
        <v>0.17083325009789241</v>
      </c>
    </row>
    <row r="191" spans="1:10" x14ac:dyDescent="0.35">
      <c r="A191" s="27" t="s">
        <v>49</v>
      </c>
      <c r="B191" s="172">
        <f t="shared" ref="B191" si="97">B129/SUM(B158:B163)</f>
        <v>0</v>
      </c>
      <c r="C191" s="172">
        <f t="shared" ref="C191:H191" si="98">C129/SUM(C158:C163)</f>
        <v>2.413144050910445E-3</v>
      </c>
      <c r="D191" s="172">
        <f t="shared" si="98"/>
        <v>2.4001684349470344E-3</v>
      </c>
      <c r="E191" s="172">
        <f t="shared" si="98"/>
        <v>2.236081787908573E-3</v>
      </c>
      <c r="F191" s="172">
        <f t="shared" si="98"/>
        <v>2.2102556610703863E-3</v>
      </c>
      <c r="G191" s="172">
        <f t="shared" si="98"/>
        <v>2.2689340293164622E-3</v>
      </c>
      <c r="H191" s="172">
        <f t="shared" si="98"/>
        <v>2.2209516444353038E-3</v>
      </c>
      <c r="J191" s="173">
        <f t="shared" si="94"/>
        <v>2.2915892680980344E-3</v>
      </c>
    </row>
    <row r="192" spans="1:10" x14ac:dyDescent="0.35">
      <c r="A192" s="27" t="s">
        <v>197</v>
      </c>
      <c r="B192" s="172">
        <f t="shared" ref="B192" si="99">(B128+B138+B139)/SUM(B158:B163)</f>
        <v>0</v>
      </c>
      <c r="C192" s="172">
        <f t="shared" ref="C192:H192" si="100">(C128+C138+C139)/SUM(C158:C163)</f>
        <v>6.7595612214645717E-2</v>
      </c>
      <c r="D192" s="172">
        <f t="shared" si="100"/>
        <v>6.4833324321750541E-2</v>
      </c>
      <c r="E192" s="172">
        <f t="shared" si="100"/>
        <v>6.4273414536025891E-2</v>
      </c>
      <c r="F192" s="172">
        <f t="shared" si="100"/>
        <v>6.3503429499020159E-2</v>
      </c>
      <c r="G192" s="172">
        <f t="shared" si="100"/>
        <v>6.3139090560904512E-2</v>
      </c>
      <c r="H192" s="172">
        <f t="shared" si="100"/>
        <v>6.2790504410989767E-2</v>
      </c>
      <c r="J192" s="173">
        <f t="shared" si="94"/>
        <v>6.435589592388942E-2</v>
      </c>
    </row>
    <row r="193" spans="1:10" x14ac:dyDescent="0.35">
      <c r="A193" s="27" t="s">
        <v>198</v>
      </c>
      <c r="B193" s="172">
        <f t="shared" ref="B193:H193" si="101">(B126+B112+B127)/SUM(B158:B163)</f>
        <v>0</v>
      </c>
      <c r="C193" s="172">
        <f t="shared" si="101"/>
        <v>3.3101350961501824E-2</v>
      </c>
      <c r="D193" s="172">
        <f t="shared" si="101"/>
        <v>3.310806752710066E-2</v>
      </c>
      <c r="E193" s="172">
        <f t="shared" si="101"/>
        <v>3.3586700282319797E-2</v>
      </c>
      <c r="F193" s="172">
        <f t="shared" si="101"/>
        <v>3.3886148538699597E-2</v>
      </c>
      <c r="G193" s="172">
        <f t="shared" si="101"/>
        <v>3.6758437851381401E-2</v>
      </c>
      <c r="H193" s="172">
        <f t="shared" si="101"/>
        <v>3.6883661237943441E-2</v>
      </c>
      <c r="J193" s="173">
        <f t="shared" si="94"/>
        <v>3.4554061066491122E-2</v>
      </c>
    </row>
    <row r="194" spans="1:10" x14ac:dyDescent="0.35">
      <c r="A194" s="27" t="s">
        <v>199</v>
      </c>
      <c r="B194" s="172">
        <f t="shared" ref="B194" si="102">(B116+B135)/SUM(B158:B163)</f>
        <v>5.7142857142857141E-2</v>
      </c>
      <c r="C194" s="172">
        <f t="shared" ref="C194:H194" si="103">(C116+C135)/SUM(C158:C163)</f>
        <v>3.628788046481872E-2</v>
      </c>
      <c r="D194" s="172">
        <f t="shared" si="103"/>
        <v>3.955891186841555E-2</v>
      </c>
      <c r="E194" s="172">
        <f t="shared" si="103"/>
        <v>3.8212867321837804E-2</v>
      </c>
      <c r="F194" s="172">
        <f t="shared" si="103"/>
        <v>3.6889704330273568E-2</v>
      </c>
      <c r="G194" s="172">
        <f t="shared" si="103"/>
        <v>2.8099619377821773E-2</v>
      </c>
      <c r="H194" s="172">
        <f t="shared" si="103"/>
        <v>2.2268218657028934E-2</v>
      </c>
      <c r="J194" s="173">
        <f t="shared" si="94"/>
        <v>3.3552867003366058E-2</v>
      </c>
    </row>
    <row r="195" spans="1:10" x14ac:dyDescent="0.35">
      <c r="A195" s="27" t="s">
        <v>37</v>
      </c>
      <c r="B195" s="172">
        <f t="shared" ref="B195" si="104">(B115+B117+B118+B119+B120+B121)/SUM(B158:B163)</f>
        <v>0</v>
      </c>
      <c r="C195" s="172">
        <f t="shared" ref="C195:H195" si="105">(C115+C117+C118+C119+C120+C121)/SUM(C158:C163)</f>
        <v>1.1169409607071202E-2</v>
      </c>
      <c r="D195" s="172">
        <f t="shared" si="105"/>
        <v>1.9976232145323538E-2</v>
      </c>
      <c r="E195" s="172">
        <f t="shared" si="105"/>
        <v>1.9767496560419096E-2</v>
      </c>
      <c r="F195" s="172">
        <f t="shared" si="105"/>
        <v>1.949456905743914E-2</v>
      </c>
      <c r="G195" s="172">
        <f t="shared" si="105"/>
        <v>1.9346482080559585E-2</v>
      </c>
      <c r="H195" s="172">
        <f t="shared" si="105"/>
        <v>1.920329975420668E-2</v>
      </c>
      <c r="J195" s="173">
        <f t="shared" si="94"/>
        <v>1.8159581534169873E-2</v>
      </c>
    </row>
    <row r="196" spans="1:10" x14ac:dyDescent="0.35">
      <c r="A196" s="27" t="s">
        <v>200</v>
      </c>
      <c r="B196" s="172">
        <f t="shared" ref="B196" si="106">(SUM(B161:B163)+B143+B156)/SUM(B158:B163)</f>
        <v>0</v>
      </c>
      <c r="C196" s="172">
        <f t="shared" ref="C196:H196" si="107">(SUM(C161:C163)+C143+C156)/SUM(C158:C163)</f>
        <v>0.24453268648976811</v>
      </c>
      <c r="D196" s="172">
        <f t="shared" si="107"/>
        <v>0.21707189126623297</v>
      </c>
      <c r="E196" s="172">
        <f t="shared" si="107"/>
        <v>0.24365809587644122</v>
      </c>
      <c r="F196" s="172">
        <f t="shared" si="107"/>
        <v>0.23161446824844981</v>
      </c>
      <c r="G196" s="172">
        <f t="shared" si="107"/>
        <v>0.22263692606407015</v>
      </c>
      <c r="H196" s="172">
        <f t="shared" si="107"/>
        <v>0.22561402082167809</v>
      </c>
      <c r="J196" s="173">
        <f t="shared" si="94"/>
        <v>0.23085468146110674</v>
      </c>
    </row>
    <row r="197" spans="1:10" x14ac:dyDescent="0.35">
      <c r="A197" s="27" t="s">
        <v>1</v>
      </c>
      <c r="B197" s="172">
        <f>(B124)/SUM(B158:B163)</f>
        <v>0</v>
      </c>
      <c r="C197" s="172">
        <f>(C124)/SUM(C158:C163)</f>
        <v>5.5265307951654387E-2</v>
      </c>
      <c r="D197" s="172">
        <f t="shared" ref="D197:H197" si="108">(D124)/SUM(D158:D163)</f>
        <v>5.2911023804992637E-2</v>
      </c>
      <c r="E197" s="172">
        <f t="shared" si="108"/>
        <v>5.2358146094046862E-2</v>
      </c>
      <c r="F197" s="172">
        <f t="shared" si="108"/>
        <v>5.1635243321283969E-2</v>
      </c>
      <c r="G197" s="172">
        <f t="shared" si="108"/>
        <v>5.1243005510775846E-2</v>
      </c>
      <c r="H197" s="172">
        <f t="shared" si="108"/>
        <v>5.0863758642647805E-2</v>
      </c>
      <c r="I197" s="172"/>
      <c r="J197" s="173">
        <f t="shared" si="94"/>
        <v>5.2379414220900256E-2</v>
      </c>
    </row>
    <row r="198" spans="1:10" x14ac:dyDescent="0.35">
      <c r="A198" s="27" t="s">
        <v>169</v>
      </c>
      <c r="B198" s="172">
        <f t="shared" ref="B198:H198" si="109">(B122)/SUM(B158:B163)</f>
        <v>0</v>
      </c>
      <c r="C198" s="172">
        <f t="shared" si="109"/>
        <v>2.2679925290511701E-4</v>
      </c>
      <c r="D198" s="172">
        <f t="shared" si="109"/>
        <v>1.5666895789471504E-4</v>
      </c>
      <c r="E198" s="172">
        <f t="shared" si="109"/>
        <v>2.4252513968639621E-3</v>
      </c>
      <c r="F198" s="172">
        <f t="shared" si="109"/>
        <v>2.3776416319603983E-3</v>
      </c>
      <c r="G198" s="172">
        <f t="shared" si="109"/>
        <v>2.4379663638787203E-3</v>
      </c>
      <c r="H198" s="172">
        <f t="shared" si="109"/>
        <v>2.5238086868582996E-3</v>
      </c>
      <c r="J198" s="173">
        <f t="shared" si="94"/>
        <v>1.6913560483935355E-3</v>
      </c>
    </row>
    <row r="199" spans="1:10" x14ac:dyDescent="0.35">
      <c r="A199" s="27" t="s">
        <v>201</v>
      </c>
      <c r="B199" s="172">
        <f t="shared" ref="B199:H199" si="110">B125/SUM(B158:B163)</f>
        <v>0.16761904761904761</v>
      </c>
      <c r="C199" s="172">
        <f t="shared" si="110"/>
        <v>4.5359850581023402E-4</v>
      </c>
      <c r="D199" s="172">
        <f t="shared" si="110"/>
        <v>3.1333791578943009E-4</v>
      </c>
      <c r="E199" s="172">
        <f t="shared" si="110"/>
        <v>2.4252513968639621E-4</v>
      </c>
      <c r="F199" s="172">
        <f t="shared" si="110"/>
        <v>1.9021133055683185E-4</v>
      </c>
      <c r="G199" s="172">
        <f t="shared" si="110"/>
        <v>1.6253109092524801E-4</v>
      </c>
      <c r="H199" s="172">
        <f t="shared" si="110"/>
        <v>1.4421763924904571E-4</v>
      </c>
      <c r="J199" s="173">
        <f t="shared" si="94"/>
        <v>2.5107027033619765E-4</v>
      </c>
    </row>
    <row r="200" spans="1:10" x14ac:dyDescent="0.35">
      <c r="A200" s="27" t="s">
        <v>202</v>
      </c>
      <c r="B200" s="172">
        <f t="shared" ref="B200" si="111">(B130+B131)/SUM(B158:B163)</f>
        <v>4.7619047619047616E-2</v>
      </c>
      <c r="C200" s="172">
        <f t="shared" ref="C200:H200" si="112">(C130+C131)/SUM(C158:C163)</f>
        <v>1.133996264525585E-3</v>
      </c>
      <c r="D200" s="172">
        <f t="shared" si="112"/>
        <v>3.9167239473678764E-3</v>
      </c>
      <c r="E200" s="172">
        <f t="shared" si="112"/>
        <v>3.1528268159231507E-3</v>
      </c>
      <c r="F200" s="172">
        <f t="shared" si="112"/>
        <v>2.5726082457811507E-3</v>
      </c>
      <c r="G200" s="172">
        <f t="shared" si="112"/>
        <v>2.2878282686365223E-3</v>
      </c>
      <c r="H200" s="172">
        <f t="shared" si="112"/>
        <v>2.1135185167972179E-3</v>
      </c>
      <c r="J200" s="173">
        <f t="shared" si="94"/>
        <v>2.5295836765052509E-3</v>
      </c>
    </row>
    <row r="201" spans="1:10" x14ac:dyDescent="0.35">
      <c r="A201" s="27" t="s">
        <v>203</v>
      </c>
      <c r="B201" s="172">
        <f t="shared" ref="B201" si="113">(B132+B133+B134+B136+B140)/SUM(B158:B163)</f>
        <v>0.15238095238095239</v>
      </c>
      <c r="C201" s="172">
        <f t="shared" ref="C201:H201" si="114">(C132+C133+C134+C136+C140)/SUM(C158:C163)</f>
        <v>1.6315938253994116E-2</v>
      </c>
      <c r="D201" s="172">
        <f t="shared" si="114"/>
        <v>1.2345513882103545E-2</v>
      </c>
      <c r="E201" s="172">
        <f t="shared" si="114"/>
        <v>1.0994101127235777E-2</v>
      </c>
      <c r="F201" s="172">
        <f t="shared" si="114"/>
        <v>9.8159420693293802E-3</v>
      </c>
      <c r="G201" s="172">
        <f t="shared" si="114"/>
        <v>9.2258364435331367E-3</v>
      </c>
      <c r="H201" s="172">
        <f t="shared" si="114"/>
        <v>8.8452893847342385E-3</v>
      </c>
      <c r="J201" s="173">
        <f t="shared" si="94"/>
        <v>1.12571035268217E-2</v>
      </c>
    </row>
    <row r="202" spans="1:10" x14ac:dyDescent="0.35">
      <c r="A202" s="27" t="s">
        <v>63</v>
      </c>
      <c r="B202" s="172">
        <f>(B111+B123+B137+B141+B142+B145+B146+B144)/SUM(B158:B163)</f>
        <v>0.57523809523809522</v>
      </c>
      <c r="C202" s="172">
        <f t="shared" ref="C202:H202" si="115">(C111+C123+C137+C141+C142+C145+C146+C144)/SUM(C158:C163)</f>
        <v>1.7961820432326553E-2</v>
      </c>
      <c r="D202" s="172">
        <f t="shared" si="115"/>
        <v>1.6766648736302372E-2</v>
      </c>
      <c r="E202" s="172">
        <f t="shared" si="115"/>
        <v>1.572397626483818E-2</v>
      </c>
      <c r="F202" s="172">
        <f t="shared" si="115"/>
        <v>1.2974133734753233E-2</v>
      </c>
      <c r="G202" s="172">
        <f t="shared" si="115"/>
        <v>1.2849082987971275E-2</v>
      </c>
      <c r="H202" s="172">
        <f t="shared" si="115"/>
        <v>1.2806009438249954E-2</v>
      </c>
      <c r="I202" s="172"/>
      <c r="J202" s="173">
        <f>AVERAGE(C202:H202)</f>
        <v>1.4846945265740262E-2</v>
      </c>
    </row>
    <row r="203" spans="1:10" x14ac:dyDescent="0.35">
      <c r="A203"/>
      <c r="B203"/>
      <c r="C203"/>
      <c r="D203"/>
      <c r="E203"/>
      <c r="F203"/>
      <c r="G203"/>
      <c r="H203"/>
    </row>
    <row r="204" spans="1:10" x14ac:dyDescent="0.35">
      <c r="A204"/>
      <c r="B204" s="174">
        <f>SUM(B189:B203)</f>
        <v>1</v>
      </c>
      <c r="C204" s="174">
        <f>SUM(C189:C203)</f>
        <v>1.0000000000000002</v>
      </c>
      <c r="D204" s="174">
        <f>SUM(D189:D203)</f>
        <v>1</v>
      </c>
      <c r="E204" s="174">
        <f t="shared" ref="E204:J204" si="116">SUM(E189:E203)</f>
        <v>1</v>
      </c>
      <c r="F204" s="174">
        <f t="shared" si="116"/>
        <v>1.0000000000000002</v>
      </c>
      <c r="G204" s="174">
        <f t="shared" si="116"/>
        <v>1</v>
      </c>
      <c r="H204" s="174">
        <f t="shared" si="116"/>
        <v>1</v>
      </c>
      <c r="J204" s="174">
        <f t="shared" si="116"/>
        <v>1.0000000000000002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A80A9D16-0F6E-4042-9400-0CCF9C7205AD}"/>
</file>

<file path=customXml/itemProps2.xml><?xml version="1.0" encoding="utf-8"?>
<ds:datastoreItem xmlns:ds="http://schemas.openxmlformats.org/officeDocument/2006/customXml" ds:itemID="{C3CDD6F2-15A7-463C-82CF-A8AB37BF55A1}"/>
</file>

<file path=customXml/itemProps3.xml><?xml version="1.0" encoding="utf-8"?>
<ds:datastoreItem xmlns:ds="http://schemas.openxmlformats.org/officeDocument/2006/customXml" ds:itemID="{8B134883-C64D-4CC9-9510-F669A85A5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Y1 Cash Flow</vt:lpstr>
      <vt:lpstr>CIVICA 6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Goodsell</dc:creator>
  <cp:lastModifiedBy>Trevor Goodsell</cp:lastModifiedBy>
  <dcterms:created xsi:type="dcterms:W3CDTF">2020-03-31T23:35:22Z</dcterms:created>
  <dcterms:modified xsi:type="dcterms:W3CDTF">2020-04-01T16:41:07Z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